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lockStructure="1"/>
  <bookViews>
    <workbookView xWindow="0" yWindow="180" windowWidth="20490" windowHeight="9705" tabRatio="844"/>
  </bookViews>
  <sheets>
    <sheet name="Index" sheetId="38" r:id="rId1"/>
    <sheet name="Pond water quality 2014" sheetId="2" r:id="rId2"/>
    <sheet name="Design 8May" sheetId="1" r:id="rId3"/>
    <sheet name="Results 8May" sheetId="4" r:id="rId4"/>
    <sheet name="MS2 Design 16May" sheetId="9" r:id="rId5"/>
    <sheet name="MS2 Results 16May " sheetId="10" r:id="rId6"/>
    <sheet name="MS2 Results 15&amp;22 July" sheetId="29" r:id="rId7"/>
    <sheet name="male specific 9 Oct" sheetId="34" r:id="rId8"/>
    <sheet name="male specific 13 Oct" sheetId="35" r:id="rId9"/>
    <sheet name="male specific 16 Oct" sheetId="36" r:id="rId10"/>
    <sheet name="Crypto expt 21May" sheetId="14" r:id="rId11"/>
    <sheet name="Crypto expt 28May" sheetId="19" r:id="rId12"/>
    <sheet name="Crypto expt 4Jun" sheetId="23" r:id="rId13"/>
    <sheet name="Crypto expt 18Jun" sheetId="25" r:id="rId14"/>
    <sheet name="Giardia expt 5Aug" sheetId="32" r:id="rId15"/>
    <sheet name="Ec  expt 22May" sheetId="16" r:id="rId16"/>
    <sheet name="Ec  expt 27May" sheetId="18" r:id="rId17"/>
    <sheet name="Ec  expt 4Jun" sheetId="22" r:id="rId18"/>
    <sheet name="Enterococci  expt 29May" sheetId="20" r:id="rId19"/>
    <sheet name="Enterococci  expt 12June" sheetId="24" r:id="rId20"/>
    <sheet name="Enterococci  expt 19June" sheetId="26" r:id="rId21"/>
    <sheet name="Adeno2 expt 17 June" sheetId="28" r:id="rId22"/>
    <sheet name="Adeno2 expt 8 July" sheetId="27" r:id="rId23"/>
    <sheet name="CB5 expt 22 July " sheetId="33" r:id="rId24"/>
    <sheet name="CB5 expt 29 July" sheetId="30" r:id="rId25"/>
    <sheet name="Sheet1" sheetId="37" r:id="rId26"/>
  </sheets>
  <calcPr calcId="145621"/>
</workbook>
</file>

<file path=xl/calcChain.xml><?xml version="1.0" encoding="utf-8"?>
<calcChain xmlns="http://schemas.openxmlformats.org/spreadsheetml/2006/main">
  <c r="X27" i="36" l="1"/>
  <c r="Q27" i="36"/>
  <c r="W9" i="36"/>
  <c r="X8" i="36"/>
  <c r="X7" i="36"/>
  <c r="O9" i="36"/>
  <c r="P8" i="36"/>
  <c r="Q7" i="36"/>
  <c r="M7" i="4"/>
  <c r="AA43" i="36" l="1"/>
  <c r="AA44" i="36"/>
  <c r="AA42" i="36"/>
  <c r="AA39" i="36"/>
  <c r="AA40" i="36"/>
  <c r="AA41" i="36"/>
  <c r="AA34" i="36"/>
  <c r="AA35" i="36"/>
  <c r="AA36" i="36"/>
  <c r="AA37" i="36"/>
  <c r="AA38" i="36"/>
  <c r="AA33" i="36"/>
  <c r="S43" i="36"/>
  <c r="S44" i="36"/>
  <c r="S42" i="36"/>
  <c r="S40" i="36"/>
  <c r="S41" i="36"/>
  <c r="S39" i="36"/>
  <c r="S34" i="36"/>
  <c r="S35" i="36"/>
  <c r="S36" i="36"/>
  <c r="S37" i="36"/>
  <c r="S38" i="36"/>
  <c r="S33" i="36"/>
  <c r="AA9" i="36"/>
  <c r="AA8" i="36"/>
  <c r="AA7" i="36"/>
  <c r="AA27" i="36"/>
  <c r="S9" i="36"/>
  <c r="S8" i="36"/>
  <c r="S7" i="36"/>
  <c r="S27" i="36"/>
  <c r="AC9" i="36" l="1"/>
  <c r="AB9" i="36"/>
  <c r="AD8" i="36"/>
  <c r="T8" i="36"/>
  <c r="AD7" i="36"/>
  <c r="T7" i="36"/>
  <c r="AB8" i="36"/>
  <c r="AB7" i="36"/>
  <c r="AC8" i="36"/>
  <c r="AC27" i="36"/>
  <c r="AC7" i="36"/>
  <c r="AD27" i="36"/>
  <c r="T9" i="36"/>
  <c r="AE7" i="36" l="1"/>
  <c r="AE8" i="36"/>
  <c r="AE9" i="36"/>
  <c r="AA12" i="35"/>
  <c r="AA11" i="35"/>
  <c r="AA10" i="35"/>
  <c r="S12" i="35"/>
  <c r="AA27" i="35"/>
  <c r="S27" i="35"/>
  <c r="S11" i="35"/>
  <c r="S10" i="35"/>
  <c r="AD10" i="35" s="1"/>
  <c r="AA9" i="35"/>
  <c r="S9" i="35"/>
  <c r="AA8" i="35"/>
  <c r="S8" i="35"/>
  <c r="AA7" i="35"/>
  <c r="AB7" i="35" s="1"/>
  <c r="S7" i="35"/>
  <c r="AC27" i="35" l="1"/>
  <c r="AB12" i="35"/>
  <c r="AB8" i="35"/>
  <c r="AD11" i="35"/>
  <c r="AD7" i="35"/>
  <c r="AC7" i="35"/>
  <c r="AD9" i="35"/>
  <c r="T7" i="35"/>
  <c r="T9" i="35"/>
  <c r="T8" i="35"/>
  <c r="AD27" i="35"/>
  <c r="AE12" i="35" s="1"/>
  <c r="AC12" i="35"/>
  <c r="AC8" i="35"/>
  <c r="AC11" i="35"/>
  <c r="AD8" i="35"/>
  <c r="AC10" i="35"/>
  <c r="AC9" i="35"/>
  <c r="T11" i="35"/>
  <c r="T12" i="35"/>
  <c r="T10" i="35"/>
  <c r="AB11" i="35"/>
  <c r="AB10" i="35"/>
  <c r="AB9" i="35"/>
  <c r="AD27" i="34"/>
  <c r="AE9" i="34" s="1"/>
  <c r="AA11" i="34"/>
  <c r="AA12" i="34"/>
  <c r="AA10" i="34"/>
  <c r="AA8" i="34"/>
  <c r="AC8" i="34" s="1"/>
  <c r="AA9" i="34"/>
  <c r="AA7" i="34"/>
  <c r="AA27" i="34"/>
  <c r="AC27" i="34" s="1"/>
  <c r="S12" i="34"/>
  <c r="S11" i="34"/>
  <c r="AD11" i="34" s="1"/>
  <c r="S8" i="34"/>
  <c r="S9" i="34"/>
  <c r="AD9" i="34" s="1"/>
  <c r="S10" i="34"/>
  <c r="AD10" i="34" s="1"/>
  <c r="S7" i="34"/>
  <c r="S27" i="34"/>
  <c r="T8" i="34" s="1"/>
  <c r="T10" i="34" l="1"/>
  <c r="T9" i="34"/>
  <c r="AD8" i="34"/>
  <c r="AC12" i="34"/>
  <c r="AB12" i="34"/>
  <c r="AD7" i="34"/>
  <c r="AC9" i="34"/>
  <c r="AB11" i="34"/>
  <c r="AB8" i="34"/>
  <c r="AC11" i="34"/>
  <c r="AH5" i="34"/>
  <c r="T11" i="34"/>
  <c r="AB7" i="34"/>
  <c r="AB9" i="34"/>
  <c r="AE12" i="34"/>
  <c r="AE8" i="34"/>
  <c r="AE11" i="34"/>
  <c r="T7" i="34"/>
  <c r="AC7" i="34"/>
  <c r="AC10" i="34"/>
  <c r="AE10" i="34"/>
  <c r="T12" i="34"/>
  <c r="AB10" i="34"/>
  <c r="AE7" i="34"/>
  <c r="AE11" i="35"/>
  <c r="AE10" i="35"/>
  <c r="AE7" i="35"/>
  <c r="AE8" i="35"/>
  <c r="AE9" i="35"/>
  <c r="L27" i="30"/>
  <c r="K27" i="30"/>
  <c r="J27" i="30"/>
  <c r="B27" i="30"/>
  <c r="H31" i="30"/>
  <c r="I31" i="30"/>
  <c r="J31" i="30"/>
  <c r="H32" i="30"/>
  <c r="I32" i="30"/>
  <c r="J32" i="30"/>
  <c r="I30" i="30"/>
  <c r="J30" i="30"/>
  <c r="H30" i="30"/>
  <c r="H35" i="27"/>
  <c r="H37" i="27"/>
  <c r="E30" i="30"/>
  <c r="F30" i="30"/>
  <c r="G30" i="30"/>
  <c r="E31" i="30"/>
  <c r="F31" i="30"/>
  <c r="G31" i="30"/>
  <c r="E32" i="30"/>
  <c r="F32" i="30"/>
  <c r="G32" i="30"/>
  <c r="D32" i="30"/>
  <c r="C32" i="30"/>
  <c r="B32" i="30"/>
  <c r="M27" i="30"/>
  <c r="G27" i="30"/>
  <c r="H27" i="30"/>
  <c r="F27" i="30"/>
  <c r="I27" i="30" s="1"/>
  <c r="C27" i="30"/>
  <c r="D27" i="30"/>
  <c r="D31" i="30"/>
  <c r="C31" i="30"/>
  <c r="B31" i="30"/>
  <c r="D30" i="30"/>
  <c r="C30" i="30"/>
  <c r="B30" i="30"/>
  <c r="D29" i="30"/>
  <c r="C29" i="30"/>
  <c r="B29" i="30"/>
  <c r="I25" i="30"/>
  <c r="I26" i="30"/>
  <c r="M25" i="30"/>
  <c r="M26" i="30"/>
  <c r="K26" i="30"/>
  <c r="L26" i="30"/>
  <c r="J26" i="30"/>
  <c r="G26" i="30"/>
  <c r="H26" i="30"/>
  <c r="F26" i="30"/>
  <c r="N26" i="30"/>
  <c r="C26" i="30" s="1"/>
  <c r="D26" i="30"/>
  <c r="B26" i="30"/>
  <c r="N25" i="30"/>
  <c r="B25" i="30" s="1"/>
  <c r="N29" i="27"/>
  <c r="N24" i="30"/>
  <c r="F24" i="30" s="1"/>
  <c r="N27" i="30"/>
  <c r="I23" i="33"/>
  <c r="I22" i="33"/>
  <c r="I21" i="33"/>
  <c r="I20" i="33"/>
  <c r="I19" i="33"/>
  <c r="I18" i="33"/>
  <c r="J18" i="33" s="1"/>
  <c r="J17" i="33"/>
  <c r="I17" i="33"/>
  <c r="J16" i="33"/>
  <c r="I15" i="33"/>
  <c r="J15" i="33" s="1"/>
  <c r="I11" i="33"/>
  <c r="J11" i="33" s="1"/>
  <c r="AG11" i="34" l="1"/>
  <c r="AG8" i="34"/>
  <c r="AG12" i="34"/>
  <c r="AG9" i="34"/>
  <c r="AG7" i="34"/>
  <c r="AG10" i="34"/>
  <c r="L32" i="30"/>
  <c r="E27" i="30"/>
  <c r="E26" i="30"/>
  <c r="H24" i="30"/>
  <c r="D25" i="30"/>
  <c r="J25" i="30"/>
  <c r="G24" i="30"/>
  <c r="I24" i="30" s="1"/>
  <c r="F29" i="30" s="1"/>
  <c r="B24" i="30"/>
  <c r="C25" i="30"/>
  <c r="C24" i="30"/>
  <c r="J24" i="30"/>
  <c r="F25" i="30"/>
  <c r="K32" i="30"/>
  <c r="D24" i="30"/>
  <c r="L24" i="30"/>
  <c r="H25" i="30"/>
  <c r="L25" i="30"/>
  <c r="K24" i="30"/>
  <c r="G25" i="30"/>
  <c r="K25" i="30"/>
  <c r="L31" i="30"/>
  <c r="F28" i="33"/>
  <c r="D26" i="33"/>
  <c r="E28" i="33"/>
  <c r="D28" i="33"/>
  <c r="F27" i="33"/>
  <c r="D27" i="33"/>
  <c r="F26" i="33"/>
  <c r="E27" i="33"/>
  <c r="E26" i="33"/>
  <c r="V31" i="29"/>
  <c r="W29" i="29"/>
  <c r="V29" i="29"/>
  <c r="Q30" i="29"/>
  <c r="Q31" i="29"/>
  <c r="Q32" i="29"/>
  <c r="Q33" i="29"/>
  <c r="Q34" i="29"/>
  <c r="Q35" i="29"/>
  <c r="Q36" i="29"/>
  <c r="Q37" i="29"/>
  <c r="Q29" i="29"/>
  <c r="Q38" i="29"/>
  <c r="P32" i="29"/>
  <c r="P33" i="29"/>
  <c r="P35" i="29"/>
  <c r="P36" i="29"/>
  <c r="P38" i="29"/>
  <c r="P39" i="29"/>
  <c r="P40" i="29"/>
  <c r="P29" i="29"/>
  <c r="M29" i="29"/>
  <c r="E25" i="30" l="1"/>
  <c r="M24" i="30"/>
  <c r="E24" i="30"/>
  <c r="L30" i="30"/>
  <c r="K30" i="30"/>
  <c r="E29" i="30"/>
  <c r="K31" i="30"/>
  <c r="N32" i="27"/>
  <c r="E29" i="27"/>
  <c r="B34" i="27" s="1"/>
  <c r="E34" i="27" s="1"/>
  <c r="N31" i="27"/>
  <c r="M32" i="27"/>
  <c r="M31" i="27"/>
  <c r="M30" i="27"/>
  <c r="M29" i="27"/>
  <c r="I32" i="27"/>
  <c r="I31" i="27"/>
  <c r="I30" i="27"/>
  <c r="I29" i="27"/>
  <c r="C34" i="27" s="1"/>
  <c r="E30" i="27"/>
  <c r="E31" i="27"/>
  <c r="E32" i="27"/>
  <c r="N30" i="27"/>
  <c r="B35" i="27" s="1"/>
  <c r="E35" i="27" s="1"/>
  <c r="G29" i="30" l="1"/>
  <c r="C36" i="27"/>
  <c r="F36" i="27" s="1"/>
  <c r="D34" i="27"/>
  <c r="G34" i="27" s="1"/>
  <c r="D35" i="27"/>
  <c r="G35" i="27" s="1"/>
  <c r="B36" i="27"/>
  <c r="E36" i="27" s="1"/>
  <c r="D36" i="27"/>
  <c r="G36" i="27" s="1"/>
  <c r="F34" i="27"/>
  <c r="C35" i="27"/>
  <c r="F35" i="27" s="1"/>
  <c r="O3" i="27"/>
  <c r="P11" i="27" s="1"/>
  <c r="P10" i="27" s="1"/>
  <c r="J36" i="27" l="1"/>
  <c r="J37" i="27"/>
  <c r="J35" i="27"/>
  <c r="I36" i="27"/>
  <c r="I37" i="27"/>
  <c r="I35" i="27"/>
  <c r="H36" i="27"/>
  <c r="S16" i="29"/>
  <c r="S17" i="29"/>
  <c r="T15" i="29"/>
  <c r="T16" i="29"/>
  <c r="T17" i="29"/>
  <c r="S15" i="29"/>
  <c r="S13" i="29"/>
  <c r="T13" i="29"/>
  <c r="S14" i="29"/>
  <c r="T14" i="29"/>
  <c r="T12" i="29"/>
  <c r="S12" i="29"/>
  <c r="S11" i="29"/>
  <c r="O8" i="29"/>
  <c r="O9" i="29"/>
  <c r="O10" i="29"/>
  <c r="O11" i="29"/>
  <c r="O12" i="29"/>
  <c r="O13" i="29"/>
  <c r="O14" i="29"/>
  <c r="O15" i="29"/>
  <c r="O16" i="29"/>
  <c r="O17" i="29"/>
  <c r="O18" i="29"/>
  <c r="O19" i="29"/>
  <c r="O20" i="29"/>
  <c r="O21" i="29"/>
  <c r="O22" i="29"/>
  <c r="O23" i="29"/>
  <c r="O24" i="29"/>
  <c r="O7" i="29"/>
  <c r="T11" i="29"/>
  <c r="N8" i="29"/>
  <c r="N9" i="29"/>
  <c r="N10" i="29"/>
  <c r="N11" i="29"/>
  <c r="N12" i="29"/>
  <c r="N13" i="29"/>
  <c r="N14" i="29"/>
  <c r="N15" i="29"/>
  <c r="N16" i="29"/>
  <c r="N17" i="29"/>
  <c r="N18" i="29"/>
  <c r="N19" i="29"/>
  <c r="N20" i="29"/>
  <c r="N21" i="29"/>
  <c r="N22" i="29"/>
  <c r="N23" i="29"/>
  <c r="N24" i="29"/>
  <c r="N25" i="29"/>
  <c r="N26" i="29"/>
  <c r="N27" i="29"/>
  <c r="M8" i="29"/>
  <c r="M9" i="29"/>
  <c r="M10" i="29"/>
  <c r="M11" i="29"/>
  <c r="M12" i="29"/>
  <c r="M13" i="29"/>
  <c r="M14" i="29"/>
  <c r="M15" i="29"/>
  <c r="M16" i="29"/>
  <c r="M17" i="29"/>
  <c r="M18" i="29"/>
  <c r="M19" i="29"/>
  <c r="M20" i="29"/>
  <c r="M21" i="29"/>
  <c r="M22" i="29"/>
  <c r="M23" i="29"/>
  <c r="M24" i="29"/>
  <c r="M25" i="29"/>
  <c r="M26" i="29"/>
  <c r="M27" i="29"/>
  <c r="N7" i="29"/>
  <c r="M7" i="29"/>
  <c r="L35" i="27" l="1"/>
  <c r="K35" i="27"/>
  <c r="K37" i="27"/>
  <c r="L37" i="27"/>
  <c r="K36" i="27"/>
  <c r="L36" i="27"/>
  <c r="P2" i="29"/>
  <c r="O3" i="28" l="1"/>
  <c r="P11" i="28" s="1"/>
  <c r="P10" i="28" s="1"/>
  <c r="H15" i="28" l="1"/>
  <c r="H14" i="28"/>
  <c r="H13" i="28"/>
  <c r="H18" i="28"/>
  <c r="H17" i="28"/>
  <c r="H16" i="28"/>
  <c r="I16" i="28" l="1"/>
  <c r="G30" i="28"/>
  <c r="G26" i="28"/>
  <c r="G24" i="28"/>
  <c r="G22" i="28"/>
  <c r="G25" i="28"/>
  <c r="G23" i="28"/>
  <c r="G27" i="28"/>
  <c r="G29" i="28"/>
  <c r="G28" i="28"/>
  <c r="I19" i="26"/>
  <c r="F37" i="26" l="1"/>
  <c r="F35" i="26"/>
  <c r="F32" i="26"/>
  <c r="F33" i="26"/>
  <c r="F31" i="26"/>
  <c r="F28" i="26"/>
  <c r="F29" i="26"/>
  <c r="F36" i="26"/>
  <c r="F27" i="26"/>
  <c r="F34" i="26"/>
  <c r="F26" i="26"/>
  <c r="F30" i="26"/>
  <c r="Q19" i="25"/>
  <c r="Q18" i="25"/>
  <c r="Q12" i="25" s="1"/>
  <c r="R12" i="25" s="1"/>
  <c r="J19" i="24"/>
  <c r="F37" i="24" s="1"/>
  <c r="H17" i="20"/>
  <c r="H18" i="20"/>
  <c r="H16" i="20"/>
  <c r="M32" i="23"/>
  <c r="M31" i="23"/>
  <c r="E42" i="22"/>
  <c r="F41" i="22"/>
  <c r="E41" i="22"/>
  <c r="F38" i="22"/>
  <c r="E38" i="22"/>
  <c r="F37" i="22"/>
  <c r="E37" i="22"/>
  <c r="H40" i="22" s="1"/>
  <c r="R19" i="23"/>
  <c r="R18" i="23"/>
  <c r="S18" i="23" s="1"/>
  <c r="F33" i="23" s="1"/>
  <c r="I33" i="23" s="1"/>
  <c r="F44" i="22"/>
  <c r="E44" i="22"/>
  <c r="F43" i="22"/>
  <c r="E43" i="22"/>
  <c r="H43" i="22" s="1"/>
  <c r="F42" i="22"/>
  <c r="I42" i="22" s="1"/>
  <c r="F40" i="22"/>
  <c r="E40" i="22"/>
  <c r="F39" i="22"/>
  <c r="E39" i="22"/>
  <c r="Q20" i="19"/>
  <c r="F41" i="18"/>
  <c r="E41" i="18"/>
  <c r="H41" i="18" s="1"/>
  <c r="F44" i="18"/>
  <c r="E44" i="18"/>
  <c r="F43" i="18"/>
  <c r="E43" i="18"/>
  <c r="F42" i="18"/>
  <c r="I42" i="18" s="1"/>
  <c r="E42" i="18"/>
  <c r="F37" i="18"/>
  <c r="E37" i="18"/>
  <c r="F40" i="18"/>
  <c r="I40" i="18" s="1"/>
  <c r="E40" i="18"/>
  <c r="F39" i="18"/>
  <c r="E39" i="18"/>
  <c r="F38" i="18"/>
  <c r="E38" i="18"/>
  <c r="Q19" i="19"/>
  <c r="Q13" i="19" s="1"/>
  <c r="R13" i="19" s="1"/>
  <c r="Q5" i="19"/>
  <c r="H24" i="16"/>
  <c r="H22" i="16"/>
  <c r="H20" i="16"/>
  <c r="H23" i="16"/>
  <c r="H21" i="16"/>
  <c r="H19" i="16"/>
  <c r="H32" i="14"/>
  <c r="H33" i="14"/>
  <c r="H34" i="14"/>
  <c r="H42" i="14"/>
  <c r="G43" i="14"/>
  <c r="G42" i="14"/>
  <c r="G41" i="14"/>
  <c r="I32" i="14" s="1"/>
  <c r="G39" i="14"/>
  <c r="H39" i="14" s="1"/>
  <c r="G37" i="14"/>
  <c r="H37" i="14" s="1"/>
  <c r="G35" i="14"/>
  <c r="H35" i="14" s="1"/>
  <c r="G27" i="14"/>
  <c r="G25" i="14"/>
  <c r="I25" i="14" s="1"/>
  <c r="G23" i="14"/>
  <c r="I33" i="14"/>
  <c r="I42" i="14"/>
  <c r="I41" i="14"/>
  <c r="F31" i="24" l="1"/>
  <c r="I41" i="18"/>
  <c r="I44" i="22"/>
  <c r="F35" i="23"/>
  <c r="I35" i="23" s="1"/>
  <c r="I27" i="14"/>
  <c r="I44" i="18"/>
  <c r="F34" i="23"/>
  <c r="I34" i="23" s="1"/>
  <c r="H41" i="14"/>
  <c r="I39" i="18"/>
  <c r="I37" i="18"/>
  <c r="I43" i="18"/>
  <c r="F25" i="19"/>
  <c r="F34" i="19"/>
  <c r="F30" i="19"/>
  <c r="F35" i="19"/>
  <c r="F37" i="19"/>
  <c r="F36" i="19"/>
  <c r="F24" i="19"/>
  <c r="F31" i="19"/>
  <c r="F23" i="19"/>
  <c r="F32" i="19"/>
  <c r="F33" i="19"/>
  <c r="F29" i="19"/>
  <c r="R19" i="19"/>
  <c r="I34" i="14"/>
  <c r="I38" i="18"/>
  <c r="F33" i="24"/>
  <c r="E29" i="25"/>
  <c r="H29" i="25" s="1"/>
  <c r="E30" i="25"/>
  <c r="H30" i="25" s="1"/>
  <c r="E31" i="25"/>
  <c r="E32" i="25"/>
  <c r="E33" i="25"/>
  <c r="H33" i="25" s="1"/>
  <c r="I39" i="14"/>
  <c r="I37" i="14"/>
  <c r="I40" i="22"/>
  <c r="F32" i="24"/>
  <c r="F26" i="24"/>
  <c r="F29" i="24"/>
  <c r="H40" i="18"/>
  <c r="I43" i="22"/>
  <c r="H39" i="22"/>
  <c r="F36" i="24"/>
  <c r="F28" i="24"/>
  <c r="F30" i="24"/>
  <c r="F35" i="24"/>
  <c r="F27" i="24"/>
  <c r="H43" i="14"/>
  <c r="F34" i="24"/>
  <c r="J29" i="26"/>
  <c r="I29" i="26"/>
  <c r="I26" i="26"/>
  <c r="J26" i="26"/>
  <c r="I28" i="26"/>
  <c r="J28" i="26"/>
  <c r="I27" i="26"/>
  <c r="J27" i="26"/>
  <c r="R18" i="25"/>
  <c r="E23" i="25"/>
  <c r="E26" i="25"/>
  <c r="E21" i="25"/>
  <c r="H21" i="25" s="1"/>
  <c r="E20" i="25"/>
  <c r="H20" i="25" s="1"/>
  <c r="E19" i="25"/>
  <c r="H19" i="25" s="1"/>
  <c r="E24" i="25"/>
  <c r="E28" i="25"/>
  <c r="E22" i="25"/>
  <c r="E18" i="25"/>
  <c r="H18" i="25" s="1"/>
  <c r="E25" i="25"/>
  <c r="E27" i="25"/>
  <c r="I38" i="22"/>
  <c r="I39" i="22"/>
  <c r="H38" i="23"/>
  <c r="H37" i="23"/>
  <c r="R12" i="23"/>
  <c r="S12" i="23" s="1"/>
  <c r="H44" i="22"/>
  <c r="H42" i="22"/>
  <c r="H38" i="22"/>
  <c r="I37" i="22"/>
  <c r="I41" i="22"/>
  <c r="H37" i="22"/>
  <c r="H41" i="22"/>
  <c r="H38" i="18"/>
  <c r="H43" i="18"/>
  <c r="H44" i="18"/>
  <c r="H42" i="18"/>
  <c r="H37" i="18"/>
  <c r="H39" i="18"/>
  <c r="I35" i="14"/>
  <c r="I23" i="14"/>
  <c r="F28" i="14"/>
  <c r="F26" i="14"/>
  <c r="F25" i="14"/>
  <c r="H25" i="14" s="1"/>
  <c r="F27" i="14"/>
  <c r="H27" i="14" s="1"/>
  <c r="F24" i="14"/>
  <c r="F23" i="14"/>
  <c r="H23" i="14" s="1"/>
  <c r="L12" i="10"/>
  <c r="O3" i="10"/>
  <c r="M33" i="10" s="1"/>
  <c r="L23" i="10"/>
  <c r="M31" i="10"/>
  <c r="L34" i="10"/>
  <c r="M34" i="10" s="1"/>
  <c r="L33" i="10"/>
  <c r="L32" i="10"/>
  <c r="M32" i="10" s="1"/>
  <c r="L31" i="10"/>
  <c r="L30" i="10"/>
  <c r="M30" i="10" s="1"/>
  <c r="L29" i="10"/>
  <c r="M29" i="10" s="1"/>
  <c r="L27" i="10"/>
  <c r="M27" i="10" s="1"/>
  <c r="L28" i="10"/>
  <c r="M28" i="10" s="1"/>
  <c r="L26" i="10"/>
  <c r="M26" i="10" s="1"/>
  <c r="L18" i="10"/>
  <c r="L19" i="10"/>
  <c r="L20" i="10"/>
  <c r="L21" i="10"/>
  <c r="L22" i="10"/>
  <c r="L24" i="10"/>
  <c r="L25" i="10"/>
  <c r="L17" i="10"/>
  <c r="L14" i="10"/>
  <c r="L9" i="10"/>
  <c r="L10" i="10"/>
  <c r="L11" i="10"/>
  <c r="M11" i="10" s="1"/>
  <c r="L13" i="10"/>
  <c r="L15" i="10"/>
  <c r="L16" i="10"/>
  <c r="L8" i="10"/>
  <c r="M13" i="10" l="1"/>
  <c r="M24" i="10"/>
  <c r="M23" i="10"/>
  <c r="M25" i="10"/>
  <c r="M12" i="10"/>
  <c r="M22" i="10"/>
  <c r="J28" i="24"/>
  <c r="I28" i="24"/>
  <c r="M14" i="10"/>
  <c r="M21" i="10"/>
  <c r="F29" i="23"/>
  <c r="J29" i="23" s="1"/>
  <c r="F28" i="23"/>
  <c r="F23" i="23"/>
  <c r="F18" i="23"/>
  <c r="J18" i="23" s="1"/>
  <c r="F32" i="23"/>
  <c r="F21" i="23"/>
  <c r="J21" i="23" s="1"/>
  <c r="F22" i="23"/>
  <c r="F31" i="23"/>
  <c r="F30" i="23"/>
  <c r="J30" i="23" s="1"/>
  <c r="E35" i="25"/>
  <c r="H35" i="25" s="1"/>
  <c r="E36" i="25"/>
  <c r="H36" i="25" s="1"/>
  <c r="E34" i="25"/>
  <c r="H34" i="25" s="1"/>
  <c r="O2" i="10"/>
  <c r="M15" i="10" s="1"/>
  <c r="M20" i="10"/>
  <c r="S2" i="10"/>
  <c r="M19" i="10"/>
  <c r="F27" i="19"/>
  <c r="F28" i="19"/>
  <c r="F26" i="19"/>
  <c r="F39" i="19"/>
  <c r="I39" i="19" s="1"/>
  <c r="F40" i="19"/>
  <c r="I40" i="19" s="1"/>
  <c r="F38" i="19"/>
  <c r="I38" i="19" s="1"/>
  <c r="M18" i="10"/>
  <c r="I27" i="24"/>
  <c r="J27" i="24"/>
  <c r="M17" i="10"/>
  <c r="I29" i="24"/>
  <c r="J29" i="24"/>
  <c r="M8" i="10"/>
  <c r="M10" i="10"/>
  <c r="I26" i="24"/>
  <c r="J26" i="24"/>
  <c r="M16" i="10"/>
  <c r="M9" i="10"/>
  <c r="H31" i="25"/>
  <c r="H32" i="25"/>
  <c r="H23" i="25"/>
  <c r="H26" i="25"/>
  <c r="H25" i="25"/>
  <c r="H28" i="25"/>
  <c r="H22" i="25"/>
  <c r="H27" i="25"/>
  <c r="H24" i="25"/>
  <c r="F24" i="23"/>
  <c r="F19" i="23"/>
  <c r="J19" i="23" s="1"/>
  <c r="F27" i="23"/>
  <c r="F20" i="23"/>
  <c r="J20" i="23" s="1"/>
  <c r="F25" i="23"/>
  <c r="F26" i="23"/>
  <c r="G7" i="4"/>
  <c r="G21" i="4"/>
  <c r="G22" i="4"/>
  <c r="G20" i="4"/>
  <c r="G18" i="4"/>
  <c r="G17" i="4"/>
  <c r="N3" i="4"/>
  <c r="G24" i="4" s="1"/>
  <c r="G26" i="4"/>
  <c r="N2" i="4"/>
  <c r="G15" i="4" s="1"/>
  <c r="G8" i="4"/>
  <c r="G10" i="4"/>
  <c r="G11" i="4"/>
  <c r="G12" i="4"/>
  <c r="G16" i="4"/>
  <c r="M26" i="4"/>
  <c r="N22" i="4" s="1"/>
  <c r="M25" i="4"/>
  <c r="M24" i="4"/>
  <c r="M21" i="4"/>
  <c r="M22" i="4"/>
  <c r="M23" i="4"/>
  <c r="M20" i="4"/>
  <c r="M18" i="4"/>
  <c r="M19" i="4"/>
  <c r="M17" i="4"/>
  <c r="M16" i="4"/>
  <c r="M15" i="4"/>
  <c r="M14" i="4"/>
  <c r="N14" i="4" s="1"/>
  <c r="M13" i="4"/>
  <c r="N13" i="4" s="1"/>
  <c r="M12" i="4"/>
  <c r="M11" i="4"/>
  <c r="M10" i="4"/>
  <c r="M9" i="4"/>
  <c r="N9" i="4" s="1"/>
  <c r="M8" i="4"/>
  <c r="N7" i="4"/>
  <c r="N11" i="4" l="1"/>
  <c r="N16" i="4"/>
  <c r="N25" i="4"/>
  <c r="N12" i="4"/>
  <c r="G9" i="4"/>
  <c r="N15" i="4"/>
  <c r="N10" i="4"/>
  <c r="G13" i="4"/>
  <c r="G37" i="25"/>
  <c r="I30" i="25" s="1"/>
  <c r="J30" i="25" s="1"/>
  <c r="O3" i="4"/>
  <c r="N8" i="4"/>
  <c r="G14" i="4"/>
  <c r="N24" i="4"/>
  <c r="I26" i="23"/>
  <c r="J26" i="23"/>
  <c r="K26" i="23" s="1"/>
  <c r="O2" i="4"/>
  <c r="N23" i="4"/>
  <c r="J25" i="23"/>
  <c r="K25" i="23" s="1"/>
  <c r="I25" i="23"/>
  <c r="J27" i="19"/>
  <c r="K27" i="19" s="1"/>
  <c r="J32" i="23"/>
  <c r="I32" i="23"/>
  <c r="G19" i="4"/>
  <c r="N20" i="4"/>
  <c r="G23" i="4"/>
  <c r="G42" i="19"/>
  <c r="G43" i="19"/>
  <c r="J28" i="23"/>
  <c r="K28" i="23" s="1"/>
  <c r="I28" i="23"/>
  <c r="N21" i="4"/>
  <c r="N17" i="4"/>
  <c r="N19" i="4"/>
  <c r="G25" i="4"/>
  <c r="I24" i="23"/>
  <c r="J24" i="23"/>
  <c r="K24" i="23" s="1"/>
  <c r="I32" i="25"/>
  <c r="J32" i="25" s="1"/>
  <c r="J23" i="23"/>
  <c r="K23" i="23" s="1"/>
  <c r="I23" i="23"/>
  <c r="N26" i="4"/>
  <c r="N18" i="4"/>
  <c r="J31" i="23"/>
  <c r="I31" i="23"/>
  <c r="I27" i="23"/>
  <c r="J27" i="23"/>
  <c r="K27" i="23" s="1"/>
  <c r="I22" i="23"/>
  <c r="J22" i="23"/>
  <c r="G38" i="25"/>
  <c r="I31" i="25" l="1"/>
  <c r="J33" i="19"/>
  <c r="K33" i="19" s="1"/>
  <c r="J24" i="19"/>
  <c r="K24" i="19" s="1"/>
  <c r="J35" i="19"/>
  <c r="K35" i="19" s="1"/>
  <c r="J30" i="19"/>
  <c r="K30" i="19" s="1"/>
  <c r="J29" i="19"/>
  <c r="K29" i="19" s="1"/>
  <c r="J31" i="19"/>
  <c r="K31" i="19" s="1"/>
  <c r="J34" i="19"/>
  <c r="K34" i="19" s="1"/>
  <c r="J23" i="19"/>
  <c r="J36" i="19"/>
  <c r="K36" i="19" s="1"/>
  <c r="J32" i="19"/>
  <c r="K32" i="19" s="1"/>
  <c r="J25" i="19"/>
  <c r="K25" i="19" s="1"/>
  <c r="J37" i="19"/>
  <c r="K37" i="19" s="1"/>
  <c r="K31" i="23"/>
  <c r="O31" i="23"/>
  <c r="K22" i="23"/>
  <c r="L23" i="23"/>
  <c r="J28" i="19"/>
  <c r="K28" i="19" s="1"/>
  <c r="J26" i="19"/>
  <c r="K26" i="19" s="1"/>
  <c r="O32" i="23"/>
  <c r="K32" i="23"/>
  <c r="I29" i="25"/>
  <c r="J29" i="25" s="1"/>
  <c r="I28" i="25"/>
  <c r="J28" i="25" s="1"/>
  <c r="I24" i="25"/>
  <c r="J24" i="25" s="1"/>
  <c r="I27" i="25"/>
  <c r="J27" i="25" s="1"/>
  <c r="I22" i="25"/>
  <c r="J22" i="25" s="1"/>
  <c r="I25" i="25"/>
  <c r="J25" i="25" s="1"/>
  <c r="I26" i="25"/>
  <c r="J26" i="25" s="1"/>
  <c r="I23" i="25"/>
  <c r="J23" i="25" s="1"/>
  <c r="I20" i="25"/>
  <c r="J20" i="25" s="1"/>
  <c r="I21" i="25"/>
  <c r="J21" i="25" s="1"/>
  <c r="I18" i="25"/>
  <c r="I19" i="25"/>
  <c r="J19" i="25" s="1"/>
  <c r="J31" i="25" l="1"/>
  <c r="K23" i="25"/>
  <c r="K23" i="19"/>
  <c r="L23" i="19"/>
  <c r="J18" i="25"/>
</calcChain>
</file>

<file path=xl/comments1.xml><?xml version="1.0" encoding="utf-8"?>
<comments xmlns="http://schemas.openxmlformats.org/spreadsheetml/2006/main">
  <authors>
    <author>mo000931</author>
  </authors>
  <commentList>
    <comment ref="G22" authorId="0">
      <text>
        <r>
          <rPr>
            <b/>
            <sz val="8"/>
            <color indexed="81"/>
            <rFont val="Tahoma"/>
            <family val="2"/>
          </rPr>
          <t>mo000931:</t>
        </r>
        <r>
          <rPr>
            <sz val="8"/>
            <color indexed="81"/>
            <rFont val="Tahoma"/>
            <family val="2"/>
          </rPr>
          <t xml:space="preserve">
some samples had individual dots but no foci - probably sporozoites too damaged to replicate</t>
        </r>
      </text>
    </comment>
  </commentList>
</comments>
</file>

<file path=xl/comments2.xml><?xml version="1.0" encoding="utf-8"?>
<comments xmlns="http://schemas.openxmlformats.org/spreadsheetml/2006/main">
  <authors>
    <author>mo000931</author>
  </authors>
  <commentList>
    <comment ref="G17" authorId="0">
      <text>
        <r>
          <rPr>
            <b/>
            <sz val="8"/>
            <color indexed="81"/>
            <rFont val="Tahoma"/>
            <family val="2"/>
          </rPr>
          <t>mo000931:</t>
        </r>
        <r>
          <rPr>
            <sz val="8"/>
            <color indexed="81"/>
            <rFont val="Tahoma"/>
            <family val="2"/>
          </rPr>
          <t xml:space="preserve">
some samples had individual dots but no foci - probably sporozoites too damaged to replicate</t>
        </r>
      </text>
    </comment>
  </commentList>
</comments>
</file>

<file path=xl/comments3.xml><?xml version="1.0" encoding="utf-8"?>
<comments xmlns="http://schemas.openxmlformats.org/spreadsheetml/2006/main">
  <authors>
    <author>mo000931</author>
  </authors>
  <commentList>
    <comment ref="F17" authorId="0">
      <text>
        <r>
          <rPr>
            <b/>
            <sz val="8"/>
            <color indexed="81"/>
            <rFont val="Tahoma"/>
            <family val="2"/>
          </rPr>
          <t>mo000931:</t>
        </r>
        <r>
          <rPr>
            <sz val="8"/>
            <color indexed="81"/>
            <rFont val="Tahoma"/>
            <family val="2"/>
          </rPr>
          <t xml:space="preserve">
some samples had individual dots but no foci - probably sporozoites too damaged to replicate</t>
        </r>
      </text>
    </comment>
  </commentList>
</comments>
</file>

<file path=xl/sharedStrings.xml><?xml version="1.0" encoding="utf-8"?>
<sst xmlns="http://schemas.openxmlformats.org/spreadsheetml/2006/main" count="1912" uniqueCount="346">
  <si>
    <t>Temperature inactivation exp design</t>
  </si>
  <si>
    <t>Initial hold times (sec)</t>
  </si>
  <si>
    <t>L55EP1</t>
  </si>
  <si>
    <t>L55EP2</t>
  </si>
  <si>
    <t>L55EP10</t>
  </si>
  <si>
    <t>L25WP1</t>
  </si>
  <si>
    <t>L25WP2</t>
  </si>
  <si>
    <t>L25WP10</t>
  </si>
  <si>
    <t>E coli</t>
  </si>
  <si>
    <t>Faecal coliforms</t>
  </si>
  <si>
    <t>Enterococci</t>
  </si>
  <si>
    <t>cond (EC)</t>
  </si>
  <si>
    <t>pH</t>
  </si>
  <si>
    <t>turbidity</t>
  </si>
  <si>
    <t>nitrate+nitrite</t>
  </si>
  <si>
    <t>TKN</t>
  </si>
  <si>
    <t>DOC</t>
  </si>
  <si>
    <t>TOC</t>
  </si>
  <si>
    <t>Ammonia</t>
  </si>
  <si>
    <t>BOD</t>
  </si>
  <si>
    <t>COD</t>
  </si>
  <si>
    <t>TDS</t>
  </si>
  <si>
    <t>SS</t>
  </si>
  <si>
    <t>VSS</t>
  </si>
  <si>
    <t>Phosphate</t>
  </si>
  <si>
    <t>&lt;0.5</t>
  </si>
  <si>
    <t>&lt;2</t>
  </si>
  <si>
    <t>Sample ID</t>
  </si>
  <si>
    <t>description</t>
  </si>
  <si>
    <t>ramp 4-55-4</t>
  </si>
  <si>
    <t>55 5</t>
  </si>
  <si>
    <t>55 60</t>
  </si>
  <si>
    <t>65 5</t>
  </si>
  <si>
    <t>65 60</t>
  </si>
  <si>
    <t xml:space="preserve">75 5 </t>
  </si>
  <si>
    <t>control</t>
  </si>
  <si>
    <t>test org E coli</t>
  </si>
  <si>
    <t>test vol 120 uL</t>
  </si>
  <si>
    <t>target - 1e3 / uL</t>
  </si>
  <si>
    <t>assume 1e8/mL stock</t>
  </si>
  <si>
    <t>1e5/uL</t>
  </si>
  <si>
    <t>resusp ON culture in same vol of P2 or P10 water, then dilture in P2 or P10 water 1/100</t>
  </si>
  <si>
    <t>aliquot 120 uL into appropriate tube</t>
  </si>
  <si>
    <t>transfer to 120 mL sterile water / PBS</t>
  </si>
  <si>
    <t>test org MS2</t>
  </si>
  <si>
    <t>dilute phage stock directly into P2 or P10 water</t>
  </si>
  <si>
    <t>aliquot 120uL into tubes</t>
  </si>
  <si>
    <t>target 1e5/uL</t>
  </si>
  <si>
    <t>transfer to 1.2 mL sterile water</t>
  </si>
  <si>
    <t>reserve 1 mL of this to be the "neat" (closest to neat we can get)</t>
  </si>
  <si>
    <t xml:space="preserve">use the rest for ten fold dilutions down to -6 (if the stock is correct there should be 1e7/mL in </t>
  </si>
  <si>
    <t>do -4, -5 -6 dilutions for ramp, control, 55, 65</t>
  </si>
  <si>
    <t>do neat, -2, -4 for the 75 ones</t>
  </si>
  <si>
    <t>75 60</t>
  </si>
  <si>
    <t>ramp 25-65-25</t>
  </si>
  <si>
    <t>ramp 25-75-25</t>
  </si>
  <si>
    <t>comment</t>
  </si>
  <si>
    <t>initially did ramp from to 4C, but modified to do it from ambient</t>
  </si>
  <si>
    <t>raw data in lab book</t>
  </si>
  <si>
    <t>MS-2</t>
  </si>
  <si>
    <t>N</t>
  </si>
  <si>
    <t>EcoliLRV</t>
  </si>
  <si>
    <t>MS2LRV</t>
  </si>
  <si>
    <t>&gt;</t>
  </si>
  <si>
    <t>x</t>
  </si>
  <si>
    <t>Ec</t>
  </si>
  <si>
    <t>MS2</t>
  </si>
  <si>
    <t>time(s)</t>
  </si>
  <si>
    <t>FRNA</t>
  </si>
  <si>
    <t>&lt;1</t>
  </si>
  <si>
    <t>yellow cell = greater than result</t>
  </si>
  <si>
    <t>Ventura report:</t>
  </si>
  <si>
    <t>ramp is 1 sec hold</t>
  </si>
  <si>
    <t>65 5 sec hold</t>
  </si>
  <si>
    <t>65 30 sec hold</t>
  </si>
  <si>
    <t>65 60 sec hold</t>
  </si>
  <si>
    <t>75 5 sec hold</t>
  </si>
  <si>
    <t>75 30 sec hold</t>
  </si>
  <si>
    <t>75 60 sec hold</t>
  </si>
  <si>
    <t>Spiked</t>
  </si>
  <si>
    <t>yes</t>
  </si>
  <si>
    <t>no</t>
  </si>
  <si>
    <t>1, 5, 30, 60</t>
  </si>
  <si>
    <t>65, 75</t>
  </si>
  <si>
    <t>do -4, -5 -6 dilutions for ramp, control, 65</t>
  </si>
  <si>
    <t>for spiked samples:</t>
  </si>
  <si>
    <t>for not spiked sample</t>
  </si>
  <si>
    <t>transfer to 1.2 mL sterile water after heat treatment</t>
  </si>
  <si>
    <t>plate neat, -1, -2</t>
  </si>
  <si>
    <t>P2 unspiked</t>
  </si>
  <si>
    <t>P10spiked</t>
  </si>
  <si>
    <t>P2spiked</t>
  </si>
  <si>
    <t>yellow = greater than</t>
  </si>
  <si>
    <t>different plaque morphology on unspiked? (hazy, not clear)</t>
  </si>
  <si>
    <t>for unspiked</t>
  </si>
  <si>
    <t>milliQ</t>
  </si>
  <si>
    <t>ramp 25-55-25</t>
  </si>
  <si>
    <t>25-55(5)-25</t>
  </si>
  <si>
    <t>5s hold</t>
  </si>
  <si>
    <t>25-55(30)-25</t>
  </si>
  <si>
    <t>30s hold</t>
  </si>
  <si>
    <t>room temp control</t>
  </si>
  <si>
    <t>test org Crypto</t>
  </si>
  <si>
    <t>dilute crypto directly into milliQ, P2 or P10 water</t>
  </si>
  <si>
    <t>stock is 1e4/uL</t>
  </si>
  <si>
    <t>target 1e2/uL</t>
  </si>
  <si>
    <t>5+495</t>
  </si>
  <si>
    <t>measured ramping, 37sec from 25 to 55C, 119sec total for 25-55(1)-25</t>
  </si>
  <si>
    <t>25C 149sec in block cycler</t>
  </si>
  <si>
    <t>dilute working stock</t>
  </si>
  <si>
    <t>1oocyst/uL</t>
  </si>
  <si>
    <t>stain 100uL of dilution for counting</t>
  </si>
  <si>
    <t>count</t>
  </si>
  <si>
    <t>for cell culture analyse either 100 or 1000 oocysts (10uL of 1e2/uL or 100 uL of 1e0/uL)</t>
  </si>
  <si>
    <t>CC plate</t>
  </si>
  <si>
    <t>oocysts added</t>
  </si>
  <si>
    <t>lab</t>
  </si>
  <si>
    <t>WW</t>
  </si>
  <si>
    <t>use lab ecoli or WW isolated ecoli</t>
  </si>
  <si>
    <t>25-65(30)-25</t>
  </si>
  <si>
    <t>25-65(60)-25</t>
  </si>
  <si>
    <t>5,30,60</t>
  </si>
  <si>
    <t>25-65(5)-25</t>
  </si>
  <si>
    <t xml:space="preserve">anticipate around 1e6 </t>
  </si>
  <si>
    <t>anticipate around 1e5</t>
  </si>
  <si>
    <t>anticipate around 1e3</t>
  </si>
  <si>
    <t>anticipate around 0</t>
  </si>
  <si>
    <t>resusp ON culture in same vol of P2  then dilute in P2  water 1/100</t>
  </si>
  <si>
    <t>%</t>
  </si>
  <si>
    <t>LRV</t>
  </si>
  <si>
    <t>was a borderline focus</t>
  </si>
  <si>
    <t>Count (1000)</t>
  </si>
  <si>
    <t>Results</t>
  </si>
  <si>
    <t>Fc</t>
  </si>
  <si>
    <t>yellow = 0 detection</t>
  </si>
  <si>
    <t>green = greater than</t>
  </si>
  <si>
    <t>time</t>
  </si>
  <si>
    <t>April</t>
  </si>
  <si>
    <t>May</t>
  </si>
  <si>
    <t>30,45,60</t>
  </si>
  <si>
    <t>25-65(45)-25</t>
  </si>
  <si>
    <t>anticipate around 1e3-4</t>
  </si>
  <si>
    <t xml:space="preserve">anticipate around 1e2 </t>
  </si>
  <si>
    <t>1, 5, 30</t>
  </si>
  <si>
    <t>15, 30</t>
  </si>
  <si>
    <t>dilute crypto directly into P2</t>
  </si>
  <si>
    <t>stain 100uL of dilution for counting + 30 stain + 870 PBS</t>
  </si>
  <si>
    <t>25-55(15)-25</t>
  </si>
  <si>
    <t>25-65(15)-25</t>
  </si>
  <si>
    <t>55, 65</t>
  </si>
  <si>
    <t>10+990</t>
  </si>
  <si>
    <t>25-75(5)-25</t>
  </si>
  <si>
    <t>vol to analyse</t>
  </si>
  <si>
    <t>10, 100 of diln</t>
  </si>
  <si>
    <t>100 of diln</t>
  </si>
  <si>
    <t>ID</t>
  </si>
  <si>
    <t>(counted twice)</t>
  </si>
  <si>
    <t>vol added to CC</t>
  </si>
  <si>
    <t>200 (-2 diln)</t>
  </si>
  <si>
    <t>20 (neat)</t>
  </si>
  <si>
    <t>result</t>
  </si>
  <si>
    <t>25-65(1)-25</t>
  </si>
  <si>
    <t>anticipate around 1e6</t>
  </si>
  <si>
    <t>anticipate around 1e0-4</t>
  </si>
  <si>
    <t>anticipate around 1e0-5</t>
  </si>
  <si>
    <t>1,30,60</t>
  </si>
  <si>
    <t>mean</t>
  </si>
  <si>
    <t>stdev</t>
  </si>
  <si>
    <t>%RSD</t>
  </si>
  <si>
    <t>double checked these, look legit</t>
  </si>
  <si>
    <t>oocysts /uL</t>
  </si>
  <si>
    <t>oocysts/uL</t>
  </si>
  <si>
    <t>foci</t>
  </si>
  <si>
    <t>Dots?</t>
  </si>
  <si>
    <t>Y</t>
  </si>
  <si>
    <t>average infectivity =</t>
  </si>
  <si>
    <t>LRV (greater than since all zeros)</t>
  </si>
  <si>
    <t>max infectious</t>
  </si>
  <si>
    <t>ration infect</t>
  </si>
  <si>
    <t>combined for 3 reps</t>
  </si>
  <si>
    <t>12+988</t>
  </si>
  <si>
    <t>20 x 4 tubes</t>
  </si>
  <si>
    <t>20 x 2 tubes</t>
  </si>
  <si>
    <t>+ 100 of control</t>
  </si>
  <si>
    <t>100 (neat)</t>
  </si>
  <si>
    <t>100 (neat) + 100 control</t>
  </si>
  <si>
    <t>100 (-2 diln)</t>
  </si>
  <si>
    <t>greater than result</t>
  </si>
  <si>
    <t>&gt;250</t>
  </si>
  <si>
    <t>&gt;200</t>
  </si>
  <si>
    <t>&gt;230</t>
  </si>
  <si>
    <t>&gt;300</t>
  </si>
  <si>
    <t>transfer to 140 mL sterile water / PBS</t>
  </si>
  <si>
    <t>do each heat exposure separately</t>
  </si>
  <si>
    <t>resusp ON culture in same vol of P2  then make 3x samples diluted in P2  water 1/100</t>
  </si>
  <si>
    <t>WW1</t>
  </si>
  <si>
    <t>WW2</t>
  </si>
  <si>
    <t>WW3</t>
  </si>
  <si>
    <t>140mL of L55EP2</t>
  </si>
  <si>
    <t>test org L55EP2 Ent</t>
  </si>
  <si>
    <t>Ent</t>
  </si>
  <si>
    <t>anticipate around 1e4-5</t>
  </si>
  <si>
    <t>anticipate around 1e2-4</t>
  </si>
  <si>
    <t>15,30,45,60</t>
  </si>
  <si>
    <t>25-75(30)-25</t>
  </si>
  <si>
    <t>25-75(45)-25</t>
  </si>
  <si>
    <t>25-75(60)-25</t>
  </si>
  <si>
    <t>25-75(15)-25</t>
  </si>
  <si>
    <t>use WW isolated entero</t>
  </si>
  <si>
    <t>anticipate around 1e2-3</t>
  </si>
  <si>
    <t>anticipate around 1e3-5</t>
  </si>
  <si>
    <t>anticipate around 1e1-3</t>
  </si>
  <si>
    <t>anticipate around 1e1-2</t>
  </si>
  <si>
    <t>ran out of oocysts</t>
  </si>
  <si>
    <t>combined for all reps (LRV calculated for killing all oocysts applied to CC)</t>
  </si>
  <si>
    <t>yellow=greater than</t>
  </si>
  <si>
    <t>55, 65, 75</t>
  </si>
  <si>
    <t>1, 30, 60</t>
  </si>
  <si>
    <t>Adenovirus 2 (24.6.13)</t>
  </si>
  <si>
    <t>assume 8.5e8/mL stock</t>
  </si>
  <si>
    <t>Assay vol 100uL</t>
  </si>
  <si>
    <t>25-75(1)-25</t>
  </si>
  <si>
    <t>25-55(1)-25</t>
  </si>
  <si>
    <t>25-55(60)-25</t>
  </si>
  <si>
    <t>Dilute neat 1:1 with 2x MEMM</t>
  </si>
  <si>
    <t>Further dilutions were done with 1x MEMM</t>
  </si>
  <si>
    <t>anticipate</t>
  </si>
  <si>
    <t>pfu/well</t>
  </si>
  <si>
    <t>pfu/mL</t>
  </si>
  <si>
    <t>target -3e7 /ml (126.45uL into 3.6mL L55EP2)</t>
  </si>
  <si>
    <t>anticipate around 1.5e7</t>
  </si>
  <si>
    <t>5, 30, 60</t>
  </si>
  <si>
    <t xml:space="preserve">mean </t>
  </si>
  <si>
    <t>0, 15, 30, 60</t>
  </si>
  <si>
    <t>do each test exposure separately (n=3)</t>
  </si>
  <si>
    <t>Time</t>
  </si>
  <si>
    <t>Rep1</t>
  </si>
  <si>
    <t>Rep2</t>
  </si>
  <si>
    <t>Rep3</t>
  </si>
  <si>
    <t>N=1</t>
  </si>
  <si>
    <t>N=2</t>
  </si>
  <si>
    <t>N=3</t>
  </si>
  <si>
    <t>dilution</t>
  </si>
  <si>
    <t>Ave</t>
  </si>
  <si>
    <r>
      <t>55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C, 15S</t>
    </r>
  </si>
  <si>
    <r>
      <t>55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C, 30S</t>
    </r>
  </si>
  <si>
    <r>
      <t>55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C, 60S</t>
    </r>
  </si>
  <si>
    <t>&gt;100</t>
  </si>
  <si>
    <t>Stock concentration</t>
  </si>
  <si>
    <r>
      <t>4.8x10</t>
    </r>
    <r>
      <rPr>
        <vertAlign val="superscript"/>
        <sz val="11"/>
        <color theme="1"/>
        <rFont val="Calibri"/>
        <family val="2"/>
        <scheme val="minor"/>
      </rPr>
      <t>8</t>
    </r>
  </si>
  <si>
    <t>pfu/ml</t>
  </si>
  <si>
    <t>target</t>
  </si>
  <si>
    <r>
      <t>2x10</t>
    </r>
    <r>
      <rPr>
        <vertAlign val="superscript"/>
        <sz val="11"/>
        <color theme="1"/>
        <rFont val="Calibri"/>
        <family val="2"/>
        <scheme val="minor"/>
      </rPr>
      <t>8</t>
    </r>
  </si>
  <si>
    <t>need 1.5ml of stock + 2.1ml L55EP2</t>
  </si>
  <si>
    <t>aliqout 120uL</t>
  </si>
  <si>
    <t>Neat (100uL sample + 100uL 2xMEMM +P/S) 1/2 dilution</t>
  </si>
  <si>
    <t>carried serial dilution in 1xMEMM+ P/S</t>
  </si>
  <si>
    <t>inoculated 100uL/well (x10 to get ml/well)</t>
  </si>
  <si>
    <t>7,13,10</t>
  </si>
  <si>
    <t>negative</t>
  </si>
  <si>
    <t>0,0,0</t>
  </si>
  <si>
    <t>repeat</t>
  </si>
  <si>
    <t>sdev</t>
  </si>
  <si>
    <t>estimate</t>
  </si>
  <si>
    <t>greater than</t>
  </si>
  <si>
    <t>1 on -2</t>
  </si>
  <si>
    <t>SAMPLE</t>
  </si>
  <si>
    <t>Dilution</t>
  </si>
  <si>
    <t>Control – 1</t>
  </si>
  <si>
    <t>Control – 2</t>
  </si>
  <si>
    <t>No Phage control</t>
  </si>
  <si>
    <t>Lawn Growth Normal</t>
  </si>
  <si>
    <t>10                25-75(5)-25</t>
  </si>
  <si>
    <t>11             25-75(30)-25</t>
  </si>
  <si>
    <t>12             25-75(60)-25</t>
  </si>
  <si>
    <t>13               25-75(5)-25</t>
  </si>
  <si>
    <t>14            25-75(30)-25</t>
  </si>
  <si>
    <t>15            25-75(60)-25</t>
  </si>
  <si>
    <t>16               25-75(5)-25</t>
  </si>
  <si>
    <t>17             25-75(30)-25</t>
  </si>
  <si>
    <t>18             25-75(60)-25</t>
  </si>
  <si>
    <t>19                     No Heat</t>
  </si>
  <si>
    <t>20                     No Heat</t>
  </si>
  <si>
    <t>21                     No Heat</t>
  </si>
  <si>
    <t>22/7 result</t>
  </si>
  <si>
    <t>3 on -2</t>
  </si>
  <si>
    <t>lrv</t>
  </si>
  <si>
    <t>5.94, &gt;6.24</t>
  </si>
  <si>
    <t>Excystation exp design</t>
  </si>
  <si>
    <t>NA</t>
  </si>
  <si>
    <t xml:space="preserve"> 30 stain added to washed cysts + PBS made up to 1 mL</t>
  </si>
  <si>
    <t>15,30,60s</t>
  </si>
  <si>
    <t>need 625ul of stock + 875ul L55EP2, 3 tubes (n=3)</t>
  </si>
  <si>
    <t>native male-specific phage</t>
  </si>
  <si>
    <t>L55EP2 water</t>
  </si>
  <si>
    <t>rnase-</t>
  </si>
  <si>
    <t>rnase+</t>
  </si>
  <si>
    <t>alternate calcs</t>
  </si>
  <si>
    <t>LRV FDNA</t>
  </si>
  <si>
    <t>75 0 sec hold</t>
  </si>
  <si>
    <t>Water Quality</t>
  </si>
  <si>
    <t>Pond</t>
  </si>
  <si>
    <t>temp. (C )</t>
  </si>
  <si>
    <t>Temp (c )</t>
  </si>
  <si>
    <t>temp (C )</t>
  </si>
  <si>
    <t>hold time (s)</t>
  </si>
  <si>
    <t>time (s)</t>
  </si>
  <si>
    <t>Hold time (s)</t>
  </si>
  <si>
    <t>Temp (C )</t>
  </si>
  <si>
    <t>LV</t>
  </si>
  <si>
    <t>Index of spreadsheets</t>
  </si>
  <si>
    <t>Pond water quality 2014</t>
  </si>
  <si>
    <t>Design 8May</t>
  </si>
  <si>
    <t>Results 8May</t>
  </si>
  <si>
    <t>MS2 Design 16May</t>
  </si>
  <si>
    <t>MS2 Results 16May</t>
  </si>
  <si>
    <t>MS2 Results 15&amp;22 July</t>
  </si>
  <si>
    <t>male specific 9 Oct</t>
  </si>
  <si>
    <t>male specific 13 Oct</t>
  </si>
  <si>
    <t>male specific 16 Oct</t>
  </si>
  <si>
    <t>Crypto expt 21May</t>
  </si>
  <si>
    <t>Crypto expt 28May</t>
  </si>
  <si>
    <t>Crypto expt 4Jun</t>
  </si>
  <si>
    <t>Crypto expt 18Jun</t>
  </si>
  <si>
    <t>Giardia expt 5Aug</t>
  </si>
  <si>
    <t>Ec  expt 22May</t>
  </si>
  <si>
    <t>Ec  expt 27May</t>
  </si>
  <si>
    <t>Ec  expt 4Jun</t>
  </si>
  <si>
    <t>Enterococci  expt 29May</t>
  </si>
  <si>
    <t>Enterococci  expt 12June</t>
  </si>
  <si>
    <t>Enterococci  expt 19June</t>
  </si>
  <si>
    <t>Adeno2 expt 17 June</t>
  </si>
  <si>
    <t>Adeno2 expt 8 July</t>
  </si>
  <si>
    <t>CB5 expt 22 July</t>
  </si>
  <si>
    <t>CB5 expt 29 July</t>
  </si>
  <si>
    <t>Target temperatures (C) :</t>
  </si>
  <si>
    <t xml:space="preserve">Target temperatures (C) : </t>
  </si>
  <si>
    <t>Pond 2</t>
  </si>
  <si>
    <t>Pond 10</t>
  </si>
  <si>
    <t>Log Value</t>
  </si>
  <si>
    <t>(sec)</t>
  </si>
  <si>
    <t>Count</t>
  </si>
  <si>
    <t>Average</t>
  </si>
  <si>
    <t>time (sec)</t>
  </si>
  <si>
    <t>St Dev</t>
  </si>
  <si>
    <t xml:space="preserve">temp (c)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</si>
</sst>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vertAlign val="superscript"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14" fontId="0" fillId="0" borderId="0" xfId="0" applyNumberFormat="1"/>
    <xf numFmtId="0" fontId="0" fillId="2" borderId="0" xfId="0" applyFill="1"/>
    <xf numFmtId="0" fontId="0" fillId="0" borderId="0" xfId="0" applyFill="1"/>
    <xf numFmtId="11" fontId="0" fillId="0" borderId="0" xfId="0" applyNumberFormat="1"/>
    <xf numFmtId="0" fontId="0" fillId="4" borderId="0" xfId="0" applyFill="1"/>
    <xf numFmtId="0" fontId="0" fillId="0" borderId="0" xfId="0" applyAlignment="1">
      <alignment horizontal="center"/>
    </xf>
    <xf numFmtId="0" fontId="0" fillId="0" borderId="0" xfId="0" quotePrefix="1"/>
    <xf numFmtId="0" fontId="0" fillId="0" borderId="0" xfId="0" applyFill="1" applyAlignment="1">
      <alignment horizont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" fontId="0" fillId="0" borderId="0" xfId="0" applyNumberFormat="1"/>
    <xf numFmtId="0" fontId="0" fillId="0" borderId="2" xfId="0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2" fontId="0" fillId="0" borderId="0" xfId="0" applyNumberFormat="1"/>
    <xf numFmtId="0" fontId="0" fillId="5" borderId="0" xfId="0" applyFill="1"/>
    <xf numFmtId="2" fontId="0" fillId="2" borderId="0" xfId="0" applyNumberFormat="1" applyFill="1"/>
    <xf numFmtId="2" fontId="0" fillId="2" borderId="2" xfId="0" applyNumberFormat="1" applyFill="1" applyBorder="1" applyAlignment="1">
      <alignment horizontal="center" vertical="center"/>
    </xf>
    <xf numFmtId="11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2" fontId="0" fillId="0" borderId="0" xfId="0" applyNumberFormat="1" applyFill="1"/>
    <xf numFmtId="0" fontId="0" fillId="0" borderId="0" xfId="0" applyAlignment="1">
      <alignment horizontal="center"/>
    </xf>
    <xf numFmtId="1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1" fontId="0" fillId="2" borderId="0" xfId="0" applyNumberFormat="1" applyFill="1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2" borderId="0" xfId="0" applyFill="1" applyBorder="1"/>
    <xf numFmtId="0" fontId="4" fillId="0" borderId="0" xfId="0" applyFont="1" applyBorder="1"/>
    <xf numFmtId="0" fontId="5" fillId="3" borderId="0" xfId="0" applyFont="1" applyFill="1"/>
    <xf numFmtId="14" fontId="0" fillId="0" borderId="0" xfId="0" applyNumberFormat="1" applyBorder="1"/>
    <xf numFmtId="11" fontId="0" fillId="0" borderId="0" xfId="0" applyNumberFormat="1" applyBorder="1"/>
    <xf numFmtId="16" fontId="0" fillId="0" borderId="0" xfId="0" applyNumberFormat="1" applyBorder="1"/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0" xfId="1"/>
    <xf numFmtId="0" fontId="7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tabSelected="1" workbookViewId="0"/>
  </sheetViews>
  <sheetFormatPr defaultRowHeight="15" x14ac:dyDescent="0.25"/>
  <cols>
    <col min="1" max="1" width="27.85546875" customWidth="1"/>
  </cols>
  <sheetData>
    <row r="1" spans="1:1" ht="18.75" x14ac:dyDescent="0.3">
      <c r="A1" s="43" t="s">
        <v>310</v>
      </c>
    </row>
    <row r="2" spans="1:1" x14ac:dyDescent="0.25">
      <c r="A2" s="42" t="s">
        <v>311</v>
      </c>
    </row>
    <row r="3" spans="1:1" x14ac:dyDescent="0.25">
      <c r="A3" s="42" t="s">
        <v>312</v>
      </c>
    </row>
    <row r="4" spans="1:1" x14ac:dyDescent="0.25">
      <c r="A4" s="42" t="s">
        <v>313</v>
      </c>
    </row>
    <row r="5" spans="1:1" x14ac:dyDescent="0.25">
      <c r="A5" s="42" t="s">
        <v>314</v>
      </c>
    </row>
    <row r="6" spans="1:1" x14ac:dyDescent="0.25">
      <c r="A6" s="42" t="s">
        <v>315</v>
      </c>
    </row>
    <row r="7" spans="1:1" x14ac:dyDescent="0.25">
      <c r="A7" s="42" t="s">
        <v>316</v>
      </c>
    </row>
    <row r="8" spans="1:1" x14ac:dyDescent="0.25">
      <c r="A8" s="42" t="s">
        <v>317</v>
      </c>
    </row>
    <row r="9" spans="1:1" x14ac:dyDescent="0.25">
      <c r="A9" s="42" t="s">
        <v>318</v>
      </c>
    </row>
    <row r="10" spans="1:1" x14ac:dyDescent="0.25">
      <c r="A10" s="42" t="s">
        <v>319</v>
      </c>
    </row>
    <row r="11" spans="1:1" x14ac:dyDescent="0.25">
      <c r="A11" s="42" t="s">
        <v>320</v>
      </c>
    </row>
    <row r="12" spans="1:1" x14ac:dyDescent="0.25">
      <c r="A12" s="42" t="s">
        <v>321</v>
      </c>
    </row>
    <row r="13" spans="1:1" x14ac:dyDescent="0.25">
      <c r="A13" s="42" t="s">
        <v>322</v>
      </c>
    </row>
    <row r="14" spans="1:1" x14ac:dyDescent="0.25">
      <c r="A14" s="42" t="s">
        <v>323</v>
      </c>
    </row>
    <row r="15" spans="1:1" x14ac:dyDescent="0.25">
      <c r="A15" s="42" t="s">
        <v>324</v>
      </c>
    </row>
    <row r="16" spans="1:1" x14ac:dyDescent="0.25">
      <c r="A16" s="42" t="s">
        <v>325</v>
      </c>
    </row>
    <row r="17" spans="1:1" x14ac:dyDescent="0.25">
      <c r="A17" s="42" t="s">
        <v>326</v>
      </c>
    </row>
    <row r="18" spans="1:1" x14ac:dyDescent="0.25">
      <c r="A18" s="42" t="s">
        <v>327</v>
      </c>
    </row>
    <row r="19" spans="1:1" x14ac:dyDescent="0.25">
      <c r="A19" s="42" t="s">
        <v>328</v>
      </c>
    </row>
    <row r="20" spans="1:1" x14ac:dyDescent="0.25">
      <c r="A20" s="42" t="s">
        <v>329</v>
      </c>
    </row>
    <row r="21" spans="1:1" x14ac:dyDescent="0.25">
      <c r="A21" s="42" t="s">
        <v>330</v>
      </c>
    </row>
    <row r="22" spans="1:1" x14ac:dyDescent="0.25">
      <c r="A22" s="42" t="s">
        <v>331</v>
      </c>
    </row>
    <row r="23" spans="1:1" x14ac:dyDescent="0.25">
      <c r="A23" s="42" t="s">
        <v>332</v>
      </c>
    </row>
    <row r="24" spans="1:1" x14ac:dyDescent="0.25">
      <c r="A24" s="42" t="s">
        <v>333</v>
      </c>
    </row>
    <row r="25" spans="1:1" x14ac:dyDescent="0.25">
      <c r="A25" s="42" t="s">
        <v>334</v>
      </c>
    </row>
  </sheetData>
  <hyperlinks>
    <hyperlink ref="A2" location="'Pond water quality 2014'!A1" display="Pond water quality 2014"/>
    <hyperlink ref="A3" location="'Design 8May'!A1" display="Design 8May"/>
    <hyperlink ref="A4" location="'Results 8May'!A1" display="Results 8May"/>
    <hyperlink ref="A5" location="'MS2 Design 16May'!A1" display="MS2 Design 16May"/>
    <hyperlink ref="A6" location="'MS2 Results 16May '!A1" display="MS2 Results 16May"/>
    <hyperlink ref="A7" location="'MS2 Results 15&amp;22 July'!A1" display="MS2 Results 15&amp;22 July"/>
    <hyperlink ref="A8" location="'male specific 9 Oct'!A1" display="male specific 9 Oct"/>
    <hyperlink ref="A9" location="'male specific 13 Oct'!A1" display="male specific 13 Oct"/>
    <hyperlink ref="A10" location="'male specific 16 Oct'!A1" display="male specific 16 Oct"/>
    <hyperlink ref="A11" location="'Crypto expt 21May'!A1" display="Crypto expt 21May"/>
    <hyperlink ref="A12" location="'Crypto expt 28May'!A1" display="Crypto expt 28May"/>
    <hyperlink ref="A13" location="'Crypto expt 4Jun'!A1" display="Crypto expt 4Jun"/>
    <hyperlink ref="A14" location="'Crypto expt 18Jun'!A1" display="Crypto expt 18Jun"/>
    <hyperlink ref="A15" location="'Giardia expt 5Aug'!A1" display="Giardia expt 5Aug"/>
    <hyperlink ref="A16" location="'Ec  expt 22May'!A1" display="Ec  expt 22May"/>
    <hyperlink ref="A17" location="'Ec  expt 27May'!A1" display="Ec  expt 27May"/>
    <hyperlink ref="A18" location="'Ec  expt 4Jun'!A1" display="Ec  expt 4Jun"/>
    <hyperlink ref="A19" location="'Enterococci  expt 29May'!A1" display="Enterococci  expt 29May"/>
    <hyperlink ref="A20" location="'Enterococci  expt 12June'!A1" display="Enterococci  expt 12June"/>
    <hyperlink ref="A21" location="'Enterococci  expt 19June'!A1" display="Enterococci  expt 19June"/>
    <hyperlink ref="A22" location="'Adeno2 expt 17 June'!A1" display="Adeno2 expt 17 June"/>
    <hyperlink ref="A23" location="'Adeno2 expt 8 July'!A1" display="Adeno2 expt 8 July"/>
    <hyperlink ref="A24" location="'CB5 expt 22 July '!A1" display="CB5 expt 22 July"/>
    <hyperlink ref="A25" location="'CB5 expt 29 July'!A1" display="CB5 expt 29 July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4"/>
  <sheetViews>
    <sheetView workbookViewId="0"/>
  </sheetViews>
  <sheetFormatPr defaultRowHeight="15" x14ac:dyDescent="0.25"/>
  <cols>
    <col min="3" max="3" width="13.85546875" customWidth="1"/>
    <col min="5" max="6" width="0" hidden="1" customWidth="1"/>
    <col min="7" max="7" width="11" hidden="1" customWidth="1"/>
    <col min="8" max="11" width="0" hidden="1" customWidth="1"/>
    <col min="13" max="13" width="10.7109375" customWidth="1"/>
    <col min="18" max="18" width="10" bestFit="1" customWidth="1"/>
    <col min="19" max="19" width="10" customWidth="1"/>
    <col min="25" max="25" width="8.140625" customWidth="1"/>
    <col min="26" max="26" width="9.140625" style="4"/>
  </cols>
  <sheetData>
    <row r="1" spans="1:31" x14ac:dyDescent="0.25">
      <c r="A1" t="s">
        <v>0</v>
      </c>
      <c r="G1" s="1">
        <v>41835</v>
      </c>
      <c r="H1" t="s">
        <v>58</v>
      </c>
      <c r="L1" t="s">
        <v>294</v>
      </c>
      <c r="O1" t="s">
        <v>293</v>
      </c>
    </row>
    <row r="2" spans="1:31" x14ac:dyDescent="0.25">
      <c r="A2" s="31" t="s">
        <v>335</v>
      </c>
      <c r="D2">
        <v>75</v>
      </c>
    </row>
    <row r="3" spans="1:31" x14ac:dyDescent="0.25">
      <c r="A3" t="s">
        <v>1</v>
      </c>
      <c r="D3" t="s">
        <v>231</v>
      </c>
    </row>
    <row r="4" spans="1:31" x14ac:dyDescent="0.25">
      <c r="H4" t="s">
        <v>37</v>
      </c>
      <c r="M4" s="2" t="s">
        <v>70</v>
      </c>
    </row>
    <row r="5" spans="1:31" x14ac:dyDescent="0.25">
      <c r="G5" t="s">
        <v>59</v>
      </c>
      <c r="L5" s="39" t="s">
        <v>295</v>
      </c>
      <c r="M5" s="39"/>
      <c r="N5" s="39"/>
      <c r="O5" s="39"/>
      <c r="P5" s="39"/>
      <c r="T5" s="39" t="s">
        <v>296</v>
      </c>
      <c r="U5" s="39"/>
      <c r="V5" s="39"/>
      <c r="W5" s="39"/>
      <c r="X5" s="39"/>
    </row>
    <row r="6" spans="1:31" x14ac:dyDescent="0.25">
      <c r="A6" t="s">
        <v>27</v>
      </c>
      <c r="C6" t="s">
        <v>28</v>
      </c>
      <c r="D6" t="s">
        <v>67</v>
      </c>
      <c r="G6" t="s">
        <v>60</v>
      </c>
      <c r="H6">
        <v>-2</v>
      </c>
      <c r="I6">
        <v>-4</v>
      </c>
      <c r="J6">
        <v>-5</v>
      </c>
      <c r="K6">
        <v>-6</v>
      </c>
      <c r="L6" t="s">
        <v>304</v>
      </c>
      <c r="M6" s="30">
        <v>-2</v>
      </c>
      <c r="N6" s="30">
        <v>-3</v>
      </c>
      <c r="O6" s="30">
        <v>-4</v>
      </c>
      <c r="P6" s="30">
        <v>-5</v>
      </c>
      <c r="Q6" s="30">
        <v>-6</v>
      </c>
      <c r="R6" s="30">
        <v>-7</v>
      </c>
      <c r="S6" s="27" t="s">
        <v>341</v>
      </c>
      <c r="T6" s="27" t="s">
        <v>129</v>
      </c>
      <c r="U6" s="30">
        <v>-2</v>
      </c>
      <c r="V6" s="30">
        <v>-3</v>
      </c>
      <c r="W6" s="30">
        <v>-4</v>
      </c>
      <c r="X6" s="30">
        <v>-5</v>
      </c>
      <c r="Y6" s="30">
        <v>-6</v>
      </c>
      <c r="Z6" s="30">
        <v>-7</v>
      </c>
      <c r="AA6" s="27" t="s">
        <v>341</v>
      </c>
      <c r="AB6" t="s">
        <v>129</v>
      </c>
      <c r="AC6" t="s">
        <v>341</v>
      </c>
      <c r="AD6" t="s">
        <v>68</v>
      </c>
      <c r="AE6" t="s">
        <v>129</v>
      </c>
    </row>
    <row r="7" spans="1:31" x14ac:dyDescent="0.25">
      <c r="A7">
        <v>1</v>
      </c>
      <c r="B7" t="s">
        <v>3</v>
      </c>
      <c r="C7" s="3" t="s">
        <v>76</v>
      </c>
      <c r="D7">
        <v>5</v>
      </c>
      <c r="I7">
        <v>167</v>
      </c>
      <c r="L7">
        <v>75</v>
      </c>
      <c r="M7" s="30"/>
      <c r="N7" s="30"/>
      <c r="O7" s="30"/>
      <c r="P7" s="30"/>
      <c r="Q7" s="30">
        <f>AVERAGE(Q36:Q38)</f>
        <v>24.333333333333332</v>
      </c>
      <c r="R7" s="30"/>
      <c r="S7" s="27">
        <f>Q7*1000000</f>
        <v>24333333.333333332</v>
      </c>
      <c r="T7" s="28">
        <f>LOG($S$27/S7)</f>
        <v>0.60796885093848274</v>
      </c>
      <c r="U7" s="30"/>
      <c r="V7" s="30"/>
      <c r="W7" s="30"/>
      <c r="X7" s="30">
        <f>AVERAGE(X36:X38)</f>
        <v>60.333333333333336</v>
      </c>
      <c r="Y7" s="30"/>
      <c r="Z7" s="30"/>
      <c r="AA7" s="27">
        <f>X7*100000</f>
        <v>6033333.333333334</v>
      </c>
      <c r="AB7" s="28">
        <f>LOG($AA$27/AA7)</f>
        <v>6.660388042850808E-2</v>
      </c>
      <c r="AC7" s="15">
        <f>AA7/S7*100</f>
        <v>24.794520547945208</v>
      </c>
      <c r="AD7" s="4">
        <f t="shared" ref="AD7:AD27" si="0">S7-AA7</f>
        <v>18300000</v>
      </c>
      <c r="AE7">
        <f>LOG($AD$27/AD7)</f>
        <v>0.69960239539337665</v>
      </c>
    </row>
    <row r="8" spans="1:31" x14ac:dyDescent="0.25">
      <c r="A8">
        <v>2</v>
      </c>
      <c r="B8" t="s">
        <v>3</v>
      </c>
      <c r="C8" s="3" t="s">
        <v>77</v>
      </c>
      <c r="D8">
        <v>30</v>
      </c>
      <c r="I8">
        <v>80</v>
      </c>
      <c r="L8">
        <v>75</v>
      </c>
      <c r="M8" s="30"/>
      <c r="N8" s="30"/>
      <c r="O8" s="30"/>
      <c r="P8" s="30">
        <f>AVERAGE(P39:P41)</f>
        <v>36.666666666666664</v>
      </c>
      <c r="Q8" s="30"/>
      <c r="R8" s="30"/>
      <c r="S8" s="27">
        <f>P8*100000</f>
        <v>3666666.6666666665</v>
      </c>
      <c r="T8" s="28">
        <f>LOG($S$27/S8)</f>
        <v>1.4298990259007136</v>
      </c>
      <c r="U8" s="30"/>
      <c r="V8" s="30"/>
      <c r="W8" s="30"/>
      <c r="X8" s="30">
        <f>AVERAGE(X39:X41)</f>
        <v>37.333333333333336</v>
      </c>
      <c r="Y8" s="30"/>
      <c r="Z8" s="30"/>
      <c r="AA8" s="27">
        <f t="shared" ref="AA8" si="1">X8*100000</f>
        <v>3733333.3333333335</v>
      </c>
      <c r="AB8" s="28">
        <f>LOG($AA$27/AA8)</f>
        <v>0.27506443262751101</v>
      </c>
      <c r="AC8" s="15">
        <f t="shared" ref="AC8:AC27" si="2">AA8/S8*100</f>
        <v>101.81818181818183</v>
      </c>
      <c r="AD8" s="4">
        <f t="shared" si="0"/>
        <v>-66666.666666666977</v>
      </c>
      <c r="AE8" t="e">
        <f>LOG($AD$27/AD8)</f>
        <v>#NUM!</v>
      </c>
    </row>
    <row r="9" spans="1:31" x14ac:dyDescent="0.25">
      <c r="A9">
        <v>3</v>
      </c>
      <c r="B9" t="s">
        <v>3</v>
      </c>
      <c r="C9" s="3" t="s">
        <v>78</v>
      </c>
      <c r="D9">
        <v>60</v>
      </c>
      <c r="F9" s="3"/>
      <c r="I9">
        <v>13</v>
      </c>
      <c r="L9">
        <v>75</v>
      </c>
      <c r="M9" s="30"/>
      <c r="N9" s="30"/>
      <c r="O9" s="30">
        <f>AVERAGE(O42:O44)</f>
        <v>169.66666666666666</v>
      </c>
      <c r="P9" s="30"/>
      <c r="Q9" s="30"/>
      <c r="R9" s="30"/>
      <c r="S9" s="27">
        <f>O9*10000</f>
        <v>1696666.6666666665</v>
      </c>
      <c r="T9" s="28">
        <f>LOG($S$27/S9)</f>
        <v>1.76457392872218</v>
      </c>
      <c r="U9" s="30"/>
      <c r="V9" s="30"/>
      <c r="W9" s="30">
        <f>AVERAGE(W42:W44)</f>
        <v>197.33333333333334</v>
      </c>
      <c r="X9" s="30"/>
      <c r="Y9" s="30"/>
      <c r="Z9" s="30"/>
      <c r="AA9" s="27">
        <f>W9*10000</f>
        <v>1973333.3333333335</v>
      </c>
      <c r="AB9" s="28">
        <f>LOG($AA$27/AA9)</f>
        <v>0.55196074857477284</v>
      </c>
      <c r="AC9" s="15">
        <f t="shared" si="2"/>
        <v>116.30648330058942</v>
      </c>
      <c r="AD9" s="29">
        <v>1</v>
      </c>
      <c r="AE9">
        <f>LOG($AD$27/AD9)</f>
        <v>7.9620534851238061</v>
      </c>
    </row>
    <row r="10" spans="1:31" x14ac:dyDescent="0.25">
      <c r="A10">
        <v>4</v>
      </c>
      <c r="B10" t="s">
        <v>3</v>
      </c>
      <c r="C10" s="3"/>
      <c r="F10" s="3"/>
      <c r="M10" s="30"/>
      <c r="N10" s="30"/>
      <c r="O10" s="30"/>
      <c r="P10" s="30"/>
      <c r="Q10" s="30"/>
      <c r="R10" s="30"/>
      <c r="S10" s="27"/>
      <c r="T10" s="28"/>
      <c r="U10" s="30"/>
      <c r="V10" s="30"/>
      <c r="W10" s="30"/>
      <c r="X10" s="30"/>
      <c r="Y10" s="30"/>
      <c r="Z10" s="30"/>
      <c r="AA10" s="27"/>
      <c r="AB10" s="28"/>
      <c r="AC10" s="15"/>
      <c r="AD10" s="4"/>
    </row>
    <row r="11" spans="1:31" x14ac:dyDescent="0.25">
      <c r="A11">
        <v>5</v>
      </c>
      <c r="B11" t="s">
        <v>3</v>
      </c>
      <c r="C11" s="3"/>
      <c r="F11" s="3"/>
      <c r="M11" s="30"/>
      <c r="N11" s="30"/>
      <c r="O11" s="30"/>
      <c r="P11" s="30"/>
      <c r="Q11" s="30"/>
      <c r="R11" s="30"/>
      <c r="S11" s="27"/>
      <c r="T11" s="28"/>
      <c r="U11" s="30"/>
      <c r="V11" s="30"/>
      <c r="W11" s="30"/>
      <c r="X11" s="30"/>
      <c r="Y11" s="30"/>
      <c r="Z11" s="30"/>
      <c r="AA11" s="27"/>
      <c r="AB11" s="28"/>
      <c r="AC11" s="15"/>
      <c r="AD11" s="4"/>
    </row>
    <row r="12" spans="1:31" x14ac:dyDescent="0.25">
      <c r="A12">
        <v>6</v>
      </c>
      <c r="B12" t="s">
        <v>3</v>
      </c>
      <c r="C12" s="3"/>
      <c r="F12" s="3"/>
      <c r="M12" s="30"/>
      <c r="N12" s="30"/>
      <c r="O12" s="30"/>
      <c r="P12" s="30"/>
      <c r="Q12" s="30"/>
      <c r="R12" s="30"/>
      <c r="S12" s="27"/>
      <c r="T12" s="28"/>
      <c r="U12" s="30"/>
      <c r="V12" s="30"/>
      <c r="W12" s="30"/>
      <c r="X12" s="30"/>
      <c r="Y12" s="30"/>
      <c r="Z12" s="30"/>
      <c r="AA12" s="27"/>
      <c r="AB12" s="28"/>
      <c r="AC12" s="15"/>
      <c r="AD12" s="29"/>
    </row>
    <row r="13" spans="1:31" x14ac:dyDescent="0.25">
      <c r="A13">
        <v>7</v>
      </c>
      <c r="B13" t="s">
        <v>3</v>
      </c>
      <c r="F13" s="3"/>
      <c r="I13">
        <v>149</v>
      </c>
      <c r="M13" s="30"/>
      <c r="N13" s="30"/>
      <c r="O13" s="30"/>
      <c r="P13" s="30"/>
      <c r="Q13" s="30"/>
      <c r="R13" s="30"/>
      <c r="S13" s="27"/>
      <c r="T13" s="27"/>
      <c r="U13" s="30"/>
      <c r="V13" s="30"/>
      <c r="W13" s="30"/>
      <c r="X13" s="30"/>
      <c r="Y13" s="30"/>
      <c r="Z13" s="30"/>
      <c r="AA13" s="27"/>
      <c r="AC13" s="15"/>
      <c r="AD13" s="4"/>
    </row>
    <row r="14" spans="1:31" x14ac:dyDescent="0.25">
      <c r="A14">
        <v>8</v>
      </c>
      <c r="B14" t="s">
        <v>3</v>
      </c>
      <c r="F14" s="3"/>
      <c r="I14">
        <v>117</v>
      </c>
      <c r="M14" s="30"/>
      <c r="N14" s="30"/>
      <c r="O14" s="30"/>
      <c r="P14" s="30"/>
      <c r="Q14" s="30"/>
      <c r="R14" s="30"/>
      <c r="S14" s="27"/>
      <c r="T14" s="27"/>
      <c r="U14" s="30"/>
      <c r="V14" s="30"/>
      <c r="W14" s="30"/>
      <c r="X14" s="30"/>
      <c r="Y14" s="30"/>
      <c r="Z14" s="30"/>
      <c r="AA14" s="27"/>
      <c r="AC14" s="15"/>
      <c r="AD14" s="4"/>
    </row>
    <row r="15" spans="1:31" x14ac:dyDescent="0.25">
      <c r="A15">
        <v>9</v>
      </c>
      <c r="B15" t="s">
        <v>3</v>
      </c>
      <c r="F15" s="3"/>
      <c r="I15">
        <v>14</v>
      </c>
      <c r="M15" s="30"/>
      <c r="N15" s="30"/>
      <c r="O15" s="30"/>
      <c r="P15" s="30"/>
      <c r="Q15" s="30"/>
      <c r="R15" s="30"/>
      <c r="S15" s="27"/>
      <c r="T15" s="27"/>
      <c r="U15" s="30"/>
      <c r="V15" s="30"/>
      <c r="W15" s="30"/>
      <c r="X15" s="30"/>
      <c r="Y15" s="30"/>
      <c r="Z15" s="30"/>
      <c r="AA15" s="27"/>
      <c r="AC15" s="15"/>
      <c r="AD15" s="4"/>
    </row>
    <row r="16" spans="1:31" x14ac:dyDescent="0.25">
      <c r="A16">
        <v>10</v>
      </c>
      <c r="B16" t="s">
        <v>3</v>
      </c>
      <c r="C16" s="3"/>
      <c r="D16" s="3"/>
      <c r="E16" s="3"/>
      <c r="F16" s="3"/>
      <c r="G16" s="3"/>
      <c r="H16" s="3"/>
      <c r="I16" s="3">
        <v>11</v>
      </c>
      <c r="J16" s="3"/>
      <c r="K16" s="3"/>
      <c r="L16" s="3"/>
      <c r="M16" s="8"/>
      <c r="N16" s="8"/>
      <c r="O16" s="8"/>
      <c r="P16" s="30"/>
      <c r="Q16" s="30"/>
      <c r="R16" s="30"/>
      <c r="S16" s="27"/>
      <c r="T16" s="27"/>
      <c r="U16" s="30"/>
      <c r="V16" s="30"/>
      <c r="W16" s="30"/>
      <c r="X16" s="30"/>
      <c r="Y16" s="30"/>
      <c r="Z16" s="30"/>
      <c r="AA16" s="27"/>
      <c r="AC16" s="15"/>
      <c r="AD16" s="4"/>
    </row>
    <row r="17" spans="1:30" x14ac:dyDescent="0.25">
      <c r="A17">
        <v>11</v>
      </c>
      <c r="B17" t="s">
        <v>3</v>
      </c>
      <c r="C17" s="3"/>
      <c r="D17" s="3"/>
      <c r="E17" s="3"/>
      <c r="F17" s="3"/>
      <c r="G17" s="3">
        <v>168</v>
      </c>
      <c r="H17" s="3"/>
      <c r="I17" s="3"/>
      <c r="J17" s="3"/>
      <c r="K17" s="3"/>
      <c r="L17" s="3"/>
      <c r="M17" s="8"/>
      <c r="N17" s="8"/>
      <c r="O17" s="8"/>
      <c r="P17" s="30"/>
      <c r="Q17" s="30"/>
      <c r="R17" s="30"/>
      <c r="S17" s="27"/>
      <c r="T17" s="27"/>
      <c r="U17" s="30"/>
      <c r="V17" s="30"/>
      <c r="W17" s="30"/>
      <c r="X17" s="30"/>
      <c r="Y17" s="30"/>
      <c r="Z17" s="30"/>
      <c r="AA17" s="27"/>
      <c r="AC17" s="15"/>
      <c r="AD17" s="4"/>
    </row>
    <row r="18" spans="1:30" x14ac:dyDescent="0.25">
      <c r="A18">
        <v>12</v>
      </c>
      <c r="B18" t="s">
        <v>3</v>
      </c>
      <c r="C18" s="3"/>
      <c r="D18" s="3"/>
      <c r="E18" s="3"/>
      <c r="F18" s="3"/>
      <c r="G18" s="3">
        <v>38</v>
      </c>
      <c r="H18" s="3"/>
      <c r="I18" s="3"/>
      <c r="J18" s="3"/>
      <c r="K18" s="3"/>
      <c r="L18" s="3"/>
      <c r="M18" s="8"/>
      <c r="N18" s="8"/>
      <c r="O18" s="8"/>
      <c r="P18" s="30"/>
      <c r="Q18" s="30"/>
      <c r="R18" s="30"/>
      <c r="S18" s="27"/>
      <c r="T18" s="27"/>
      <c r="U18" s="30"/>
      <c r="V18" s="30"/>
      <c r="W18" s="30"/>
      <c r="X18" s="30"/>
      <c r="Y18" s="30"/>
      <c r="Z18" s="30"/>
      <c r="AA18" s="27"/>
      <c r="AC18" s="15"/>
      <c r="AD18" s="4"/>
    </row>
    <row r="19" spans="1:30" x14ac:dyDescent="0.25">
      <c r="A19">
        <v>13</v>
      </c>
      <c r="B19" t="s">
        <v>3</v>
      </c>
      <c r="C19" s="3"/>
      <c r="D19" s="3"/>
      <c r="E19" s="3"/>
      <c r="F19" s="3"/>
      <c r="G19" s="3"/>
      <c r="H19" s="3"/>
      <c r="I19" s="3">
        <v>16</v>
      </c>
      <c r="J19" s="3"/>
      <c r="K19" s="3"/>
      <c r="L19" s="3"/>
      <c r="M19" s="8"/>
      <c r="N19" s="8"/>
      <c r="O19" s="8"/>
      <c r="P19" s="30"/>
      <c r="Q19" s="30"/>
      <c r="R19" s="30"/>
      <c r="S19" s="27"/>
      <c r="T19" s="27"/>
      <c r="U19" s="30"/>
      <c r="V19" s="30"/>
      <c r="W19" s="30"/>
      <c r="X19" s="30"/>
      <c r="Y19" s="30"/>
      <c r="Z19" s="30"/>
      <c r="AA19" s="27"/>
      <c r="AC19" s="15"/>
      <c r="AD19" s="4"/>
    </row>
    <row r="20" spans="1:30" x14ac:dyDescent="0.25">
      <c r="A20">
        <v>14</v>
      </c>
      <c r="B20" t="s">
        <v>3</v>
      </c>
      <c r="C20" s="3"/>
      <c r="D20" s="3"/>
      <c r="E20" s="3"/>
      <c r="F20" s="3"/>
      <c r="G20" s="3">
        <v>41</v>
      </c>
      <c r="H20" s="3"/>
      <c r="I20" s="3"/>
      <c r="J20" s="3"/>
      <c r="K20" s="3"/>
      <c r="L20" s="3"/>
      <c r="M20" s="8"/>
      <c r="N20" s="8"/>
      <c r="O20" s="8"/>
      <c r="P20" s="30"/>
      <c r="Q20" s="30"/>
      <c r="R20" s="30"/>
      <c r="S20" s="27"/>
      <c r="T20" s="27"/>
      <c r="U20" s="30"/>
      <c r="V20" s="30"/>
      <c r="W20" s="30"/>
      <c r="X20" s="30"/>
      <c r="Y20" s="30"/>
      <c r="Z20" s="30"/>
      <c r="AA20" s="27"/>
      <c r="AC20" s="15"/>
      <c r="AD20" s="4"/>
    </row>
    <row r="21" spans="1:30" x14ac:dyDescent="0.25">
      <c r="A21">
        <v>15</v>
      </c>
      <c r="B21" t="s">
        <v>3</v>
      </c>
      <c r="C21" s="3"/>
      <c r="D21" s="3"/>
      <c r="E21" s="3"/>
      <c r="F21" s="3"/>
      <c r="G21" s="3">
        <v>39</v>
      </c>
      <c r="H21" s="3"/>
      <c r="I21" s="3"/>
      <c r="J21" s="3"/>
      <c r="K21" s="3"/>
      <c r="L21" s="3"/>
      <c r="M21" s="8"/>
      <c r="N21" s="8"/>
      <c r="O21" s="8"/>
      <c r="P21" s="30"/>
      <c r="Q21" s="30"/>
      <c r="R21" s="30"/>
      <c r="S21" s="27"/>
      <c r="T21" s="27"/>
      <c r="U21" s="30"/>
      <c r="V21" s="30"/>
      <c r="W21" s="30"/>
      <c r="X21" s="30"/>
      <c r="Y21" s="30"/>
      <c r="Z21" s="30"/>
      <c r="AA21" s="27"/>
      <c r="AC21" s="15"/>
      <c r="AD21" s="4"/>
    </row>
    <row r="22" spans="1:30" x14ac:dyDescent="0.25">
      <c r="A22">
        <v>16</v>
      </c>
      <c r="B22" t="s">
        <v>3</v>
      </c>
      <c r="C22" s="3"/>
      <c r="D22" s="3"/>
      <c r="E22" s="3"/>
      <c r="F22" s="3"/>
      <c r="G22" s="3"/>
      <c r="H22" s="3"/>
      <c r="I22" s="3">
        <v>16</v>
      </c>
      <c r="J22" s="3"/>
      <c r="K22" s="3"/>
      <c r="L22" s="3"/>
      <c r="M22" s="8"/>
      <c r="N22" s="8"/>
      <c r="O22" s="8"/>
      <c r="P22" s="30"/>
      <c r="Q22" s="30"/>
      <c r="R22" s="30"/>
      <c r="S22" s="27"/>
      <c r="T22" s="27"/>
      <c r="U22" s="30"/>
      <c r="V22" s="30"/>
      <c r="W22" s="30"/>
      <c r="X22" s="30"/>
      <c r="Y22" s="30"/>
      <c r="Z22" s="30"/>
      <c r="AA22" s="27"/>
      <c r="AC22" s="15"/>
      <c r="AD22" s="4"/>
    </row>
    <row r="23" spans="1:30" x14ac:dyDescent="0.25">
      <c r="A23">
        <v>17</v>
      </c>
      <c r="B23" t="s">
        <v>3</v>
      </c>
      <c r="C23" s="3"/>
      <c r="D23" s="3"/>
      <c r="E23" s="3"/>
      <c r="F23" s="3"/>
      <c r="G23" s="3">
        <v>30</v>
      </c>
      <c r="H23" s="3"/>
      <c r="I23" s="3"/>
      <c r="J23" s="3"/>
      <c r="K23" s="3"/>
      <c r="L23" s="3"/>
      <c r="M23" s="8"/>
      <c r="N23" s="8"/>
      <c r="O23" s="8"/>
      <c r="P23" s="30"/>
      <c r="Q23" s="30"/>
      <c r="R23" s="30"/>
      <c r="S23" s="27"/>
      <c r="T23" s="27"/>
      <c r="U23" s="30"/>
      <c r="V23" s="30"/>
      <c r="W23" s="30"/>
      <c r="X23" s="30"/>
      <c r="Y23" s="30"/>
      <c r="Z23" s="30"/>
      <c r="AA23" s="27"/>
      <c r="AC23" s="15"/>
      <c r="AD23" s="4"/>
    </row>
    <row r="24" spans="1:30" x14ac:dyDescent="0.25">
      <c r="A24">
        <v>18</v>
      </c>
      <c r="B24" t="s">
        <v>3</v>
      </c>
      <c r="C24" s="3"/>
      <c r="D24" s="3"/>
      <c r="E24" s="3"/>
      <c r="F24" s="3"/>
      <c r="G24" s="3">
        <v>38</v>
      </c>
      <c r="H24" s="3"/>
      <c r="I24" s="3"/>
      <c r="J24" s="3"/>
      <c r="K24" s="3"/>
      <c r="L24" s="3"/>
      <c r="M24" s="8"/>
      <c r="N24" s="8"/>
      <c r="O24" s="8"/>
      <c r="P24" s="30"/>
      <c r="Q24" s="30"/>
      <c r="R24" s="30"/>
      <c r="S24" s="27"/>
      <c r="T24" s="27"/>
      <c r="U24" s="30"/>
      <c r="V24" s="30"/>
      <c r="W24" s="30"/>
      <c r="X24" s="30"/>
      <c r="Y24" s="30"/>
      <c r="Z24" s="30"/>
      <c r="AA24" s="27"/>
      <c r="AC24" s="15"/>
      <c r="AD24" s="4"/>
    </row>
    <row r="25" spans="1:30" x14ac:dyDescent="0.25">
      <c r="A25">
        <v>19</v>
      </c>
      <c r="B25" t="s">
        <v>3</v>
      </c>
      <c r="C25" s="3" t="s">
        <v>35</v>
      </c>
      <c r="D25" s="3">
        <v>0</v>
      </c>
      <c r="E25" s="3"/>
      <c r="F25" s="3"/>
      <c r="G25" s="3"/>
      <c r="H25" s="3"/>
      <c r="I25" s="3">
        <v>165</v>
      </c>
      <c r="J25" s="3"/>
      <c r="K25" s="3"/>
      <c r="L25" s="3"/>
      <c r="M25" s="8"/>
      <c r="N25" s="8"/>
      <c r="O25" s="8"/>
      <c r="P25" s="30"/>
      <c r="Q25" s="30"/>
      <c r="R25" s="30"/>
      <c r="S25" s="27"/>
      <c r="T25" s="27"/>
      <c r="U25" s="30"/>
      <c r="V25" s="30"/>
      <c r="W25" s="30"/>
      <c r="X25" s="30"/>
      <c r="Y25" s="30"/>
      <c r="Z25" s="30"/>
      <c r="AA25" s="27"/>
      <c r="AC25" s="15"/>
      <c r="AD25" s="4"/>
    </row>
    <row r="26" spans="1:30" x14ac:dyDescent="0.25">
      <c r="A26">
        <v>20</v>
      </c>
      <c r="B26" t="s">
        <v>3</v>
      </c>
      <c r="C26" s="3" t="s">
        <v>35</v>
      </c>
      <c r="D26" s="3">
        <v>0</v>
      </c>
      <c r="E26" s="3"/>
      <c r="F26" s="3"/>
      <c r="G26" s="3"/>
      <c r="H26" s="3"/>
      <c r="I26" s="3">
        <v>166</v>
      </c>
      <c r="J26" s="3"/>
      <c r="K26" s="3"/>
      <c r="L26" s="3"/>
      <c r="M26" s="8"/>
      <c r="N26" s="8"/>
      <c r="O26" s="8"/>
      <c r="P26" s="30"/>
      <c r="Q26" s="30"/>
      <c r="R26" s="30"/>
      <c r="S26" s="27"/>
      <c r="T26" s="27"/>
      <c r="U26" s="30"/>
      <c r="V26" s="30"/>
      <c r="W26" s="30"/>
      <c r="X26" s="30"/>
      <c r="Y26" s="30"/>
      <c r="Z26" s="30"/>
      <c r="AA26" s="27"/>
      <c r="AC26" s="15"/>
      <c r="AD26" s="4"/>
    </row>
    <row r="27" spans="1:30" x14ac:dyDescent="0.25">
      <c r="A27">
        <v>21</v>
      </c>
      <c r="B27" t="s">
        <v>3</v>
      </c>
      <c r="C27" s="3" t="s">
        <v>35</v>
      </c>
      <c r="D27" s="3">
        <v>0</v>
      </c>
      <c r="E27" s="3"/>
      <c r="F27" s="3"/>
      <c r="G27" s="3"/>
      <c r="H27" s="3"/>
      <c r="I27" s="3">
        <v>181</v>
      </c>
      <c r="J27" s="3"/>
      <c r="K27" s="3"/>
      <c r="L27" s="3"/>
      <c r="M27" s="8"/>
      <c r="N27" s="8"/>
      <c r="O27" s="8"/>
      <c r="P27" s="30"/>
      <c r="Q27" s="30">
        <f>AVERAGE(Q33:Q35)</f>
        <v>98.666666666666671</v>
      </c>
      <c r="R27" s="30"/>
      <c r="S27" s="27">
        <f>Q27*1000000</f>
        <v>98666666.666666672</v>
      </c>
      <c r="T27" s="27"/>
      <c r="U27" s="30"/>
      <c r="V27" s="30"/>
      <c r="W27" s="30"/>
      <c r="X27" s="30">
        <f>AVERAGE(X33:X35)</f>
        <v>70.333333333333329</v>
      </c>
      <c r="Y27" s="30"/>
      <c r="Z27" s="30"/>
      <c r="AA27" s="27">
        <f>X27*100000</f>
        <v>7033333.333333333</v>
      </c>
      <c r="AC27" s="15">
        <f t="shared" si="2"/>
        <v>7.1283783783783781</v>
      </c>
      <c r="AD27" s="4">
        <f t="shared" si="0"/>
        <v>91633333.333333343</v>
      </c>
    </row>
    <row r="31" spans="1:30" x14ac:dyDescent="0.25">
      <c r="G31" t="s">
        <v>59</v>
      </c>
      <c r="L31" s="39" t="s">
        <v>295</v>
      </c>
      <c r="M31" s="39"/>
      <c r="N31" s="39"/>
      <c r="O31" s="39"/>
      <c r="P31" s="39"/>
      <c r="T31" s="39" t="s">
        <v>296</v>
      </c>
      <c r="U31" s="39"/>
      <c r="V31" s="39"/>
      <c r="W31" s="39"/>
      <c r="X31" s="39"/>
    </row>
    <row r="32" spans="1:30" x14ac:dyDescent="0.25">
      <c r="A32" t="s">
        <v>27</v>
      </c>
      <c r="C32" t="s">
        <v>28</v>
      </c>
      <c r="D32" t="s">
        <v>67</v>
      </c>
      <c r="G32" t="s">
        <v>60</v>
      </c>
      <c r="H32">
        <v>-2</v>
      </c>
      <c r="I32">
        <v>-4</v>
      </c>
      <c r="J32">
        <v>-5</v>
      </c>
      <c r="K32">
        <v>-6</v>
      </c>
      <c r="M32" s="30">
        <v>-2</v>
      </c>
      <c r="N32" s="30">
        <v>-3</v>
      </c>
      <c r="O32" s="30">
        <v>-4</v>
      </c>
      <c r="P32" s="30">
        <v>-5</v>
      </c>
      <c r="Q32" s="30">
        <v>-6</v>
      </c>
      <c r="R32" s="30"/>
      <c r="S32" s="27"/>
      <c r="T32" s="27"/>
      <c r="U32" s="30">
        <v>-2</v>
      </c>
      <c r="V32" s="30">
        <v>-3</v>
      </c>
      <c r="W32" s="30">
        <v>-4</v>
      </c>
      <c r="X32" s="30">
        <v>-5</v>
      </c>
      <c r="Y32" s="30">
        <v>-6</v>
      </c>
      <c r="Z32" s="30"/>
      <c r="AA32" s="27"/>
    </row>
    <row r="33" spans="3:27" x14ac:dyDescent="0.25">
      <c r="C33" s="3" t="s">
        <v>299</v>
      </c>
      <c r="D33">
        <v>0</v>
      </c>
      <c r="L33">
        <v>75</v>
      </c>
      <c r="Q33">
        <v>105</v>
      </c>
      <c r="S33" s="27">
        <f>Q33*1000000</f>
        <v>105000000</v>
      </c>
      <c r="X33">
        <v>70</v>
      </c>
      <c r="Z33"/>
      <c r="AA33" s="27">
        <f>X33*100000</f>
        <v>7000000</v>
      </c>
    </row>
    <row r="34" spans="3:27" x14ac:dyDescent="0.25">
      <c r="C34" s="3" t="s">
        <v>299</v>
      </c>
      <c r="D34">
        <v>0</v>
      </c>
      <c r="L34">
        <v>75</v>
      </c>
      <c r="Q34">
        <v>91</v>
      </c>
      <c r="S34" s="27">
        <f t="shared" ref="S34:S38" si="3">Q34*1000000</f>
        <v>91000000</v>
      </c>
      <c r="X34">
        <v>62</v>
      </c>
      <c r="Z34"/>
      <c r="AA34" s="27">
        <f t="shared" ref="AA34:AA41" si="4">X34*100000</f>
        <v>6200000</v>
      </c>
    </row>
    <row r="35" spans="3:27" x14ac:dyDescent="0.25">
      <c r="C35" s="3" t="s">
        <v>299</v>
      </c>
      <c r="D35">
        <v>0</v>
      </c>
      <c r="L35">
        <v>75</v>
      </c>
      <c r="Q35">
        <v>100</v>
      </c>
      <c r="S35" s="27">
        <f t="shared" si="3"/>
        <v>100000000</v>
      </c>
      <c r="X35">
        <v>79</v>
      </c>
      <c r="Z35"/>
      <c r="AA35" s="27">
        <f t="shared" si="4"/>
        <v>7900000</v>
      </c>
    </row>
    <row r="36" spans="3:27" x14ac:dyDescent="0.25">
      <c r="C36" s="3" t="s">
        <v>76</v>
      </c>
      <c r="D36">
        <v>5</v>
      </c>
      <c r="L36">
        <v>75</v>
      </c>
      <c r="Q36">
        <v>27</v>
      </c>
      <c r="S36" s="27">
        <f t="shared" si="3"/>
        <v>27000000</v>
      </c>
      <c r="X36">
        <v>62</v>
      </c>
      <c r="Z36"/>
      <c r="AA36" s="27">
        <f t="shared" si="4"/>
        <v>6200000</v>
      </c>
    </row>
    <row r="37" spans="3:27" x14ac:dyDescent="0.25">
      <c r="C37" s="3" t="s">
        <v>76</v>
      </c>
      <c r="D37">
        <v>5</v>
      </c>
      <c r="L37">
        <v>75</v>
      </c>
      <c r="Q37">
        <v>24</v>
      </c>
      <c r="S37" s="27">
        <f t="shared" si="3"/>
        <v>24000000</v>
      </c>
      <c r="X37">
        <v>52</v>
      </c>
      <c r="Z37"/>
      <c r="AA37" s="27">
        <f t="shared" si="4"/>
        <v>5200000</v>
      </c>
    </row>
    <row r="38" spans="3:27" x14ac:dyDescent="0.25">
      <c r="C38" s="3" t="s">
        <v>76</v>
      </c>
      <c r="D38">
        <v>5</v>
      </c>
      <c r="L38">
        <v>75</v>
      </c>
      <c r="Q38">
        <v>22</v>
      </c>
      <c r="S38" s="27">
        <f t="shared" si="3"/>
        <v>22000000</v>
      </c>
      <c r="X38">
        <v>67</v>
      </c>
      <c r="Z38"/>
      <c r="AA38" s="27">
        <f t="shared" si="4"/>
        <v>6700000</v>
      </c>
    </row>
    <row r="39" spans="3:27" x14ac:dyDescent="0.25">
      <c r="C39" s="3" t="s">
        <v>77</v>
      </c>
      <c r="D39">
        <v>30</v>
      </c>
      <c r="L39">
        <v>75</v>
      </c>
      <c r="P39">
        <v>36</v>
      </c>
      <c r="S39" s="27">
        <f>P39*100000</f>
        <v>3600000</v>
      </c>
      <c r="X39">
        <v>36</v>
      </c>
      <c r="Z39"/>
      <c r="AA39" s="27">
        <f t="shared" si="4"/>
        <v>3600000</v>
      </c>
    </row>
    <row r="40" spans="3:27" x14ac:dyDescent="0.25">
      <c r="C40" s="3" t="s">
        <v>77</v>
      </c>
      <c r="D40">
        <v>30</v>
      </c>
      <c r="L40">
        <v>75</v>
      </c>
      <c r="P40">
        <v>41</v>
      </c>
      <c r="S40" s="27">
        <f t="shared" ref="S40:S41" si="5">P40*100000</f>
        <v>4100000</v>
      </c>
      <c r="X40">
        <v>31</v>
      </c>
      <c r="Z40"/>
      <c r="AA40" s="27">
        <f t="shared" si="4"/>
        <v>3100000</v>
      </c>
    </row>
    <row r="41" spans="3:27" x14ac:dyDescent="0.25">
      <c r="C41" s="3" t="s">
        <v>77</v>
      </c>
      <c r="D41">
        <v>30</v>
      </c>
      <c r="L41">
        <v>75</v>
      </c>
      <c r="P41">
        <v>33</v>
      </c>
      <c r="S41" s="27">
        <f t="shared" si="5"/>
        <v>3300000</v>
      </c>
      <c r="X41">
        <v>45</v>
      </c>
      <c r="Z41"/>
      <c r="AA41" s="27">
        <f t="shared" si="4"/>
        <v>4500000</v>
      </c>
    </row>
    <row r="42" spans="3:27" x14ac:dyDescent="0.25">
      <c r="C42" s="3" t="s">
        <v>78</v>
      </c>
      <c r="D42">
        <v>60</v>
      </c>
      <c r="L42">
        <v>75</v>
      </c>
      <c r="O42">
        <v>169</v>
      </c>
      <c r="S42" s="27">
        <f>O42*10000</f>
        <v>1690000</v>
      </c>
      <c r="W42">
        <v>187</v>
      </c>
      <c r="Z42"/>
      <c r="AA42" s="27">
        <f>W42*10000</f>
        <v>1870000</v>
      </c>
    </row>
    <row r="43" spans="3:27" x14ac:dyDescent="0.25">
      <c r="C43" s="3" t="s">
        <v>78</v>
      </c>
      <c r="D43">
        <v>60</v>
      </c>
      <c r="L43">
        <v>75</v>
      </c>
      <c r="O43">
        <v>164</v>
      </c>
      <c r="S43" s="27">
        <f t="shared" ref="S43:S44" si="6">O43*10000</f>
        <v>1640000</v>
      </c>
      <c r="W43">
        <v>209</v>
      </c>
      <c r="Z43"/>
      <c r="AA43" s="27">
        <f t="shared" ref="AA43:AA44" si="7">W43*10000</f>
        <v>2090000</v>
      </c>
    </row>
    <row r="44" spans="3:27" x14ac:dyDescent="0.25">
      <c r="C44" s="3" t="s">
        <v>78</v>
      </c>
      <c r="D44">
        <v>60</v>
      </c>
      <c r="L44">
        <v>75</v>
      </c>
      <c r="O44">
        <v>176</v>
      </c>
      <c r="S44" s="27">
        <f t="shared" si="6"/>
        <v>1760000</v>
      </c>
      <c r="W44">
        <v>196</v>
      </c>
      <c r="Z44"/>
      <c r="AA44" s="27">
        <f t="shared" si="7"/>
        <v>1960000</v>
      </c>
    </row>
  </sheetData>
  <mergeCells count="4">
    <mergeCell ref="L5:P5"/>
    <mergeCell ref="T5:X5"/>
    <mergeCell ref="L31:P31"/>
    <mergeCell ref="T31:X31"/>
  </mergeCells>
  <pageMargins left="0.70866141732283472" right="0.70866141732283472" top="0.74803149606299213" bottom="0.74803149606299213" header="0.31496062992125984" footer="0.31496062992125984"/>
  <pageSetup paperSize="9" scale="61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3"/>
  <sheetViews>
    <sheetView workbookViewId="0"/>
  </sheetViews>
  <sheetFormatPr defaultRowHeight="15" x14ac:dyDescent="0.25"/>
  <cols>
    <col min="3" max="3" width="24" customWidth="1"/>
    <col min="4" max="4" width="25" customWidth="1"/>
    <col min="5" max="5" width="13.28515625" customWidth="1"/>
    <col min="6" max="6" width="11.5703125" customWidth="1"/>
    <col min="8" max="8" width="42.28515625" customWidth="1"/>
  </cols>
  <sheetData>
    <row r="1" spans="1:19" x14ac:dyDescent="0.25">
      <c r="A1" t="s">
        <v>0</v>
      </c>
      <c r="H1" s="1">
        <v>41780</v>
      </c>
    </row>
    <row r="2" spans="1:19" x14ac:dyDescent="0.25">
      <c r="A2" s="31" t="s">
        <v>335</v>
      </c>
      <c r="E2">
        <v>55</v>
      </c>
    </row>
    <row r="3" spans="1:19" x14ac:dyDescent="0.25">
      <c r="A3" t="s">
        <v>1</v>
      </c>
      <c r="E3" t="s">
        <v>143</v>
      </c>
      <c r="H3" t="s">
        <v>107</v>
      </c>
    </row>
    <row r="4" spans="1:19" x14ac:dyDescent="0.25">
      <c r="I4" t="s">
        <v>37</v>
      </c>
      <c r="M4" s="3"/>
      <c r="N4" s="3"/>
      <c r="O4" s="3"/>
      <c r="P4" s="3"/>
      <c r="Q4" s="3"/>
      <c r="R4" s="3"/>
      <c r="S4" s="3"/>
    </row>
    <row r="5" spans="1:19" x14ac:dyDescent="0.25">
      <c r="M5" s="3"/>
      <c r="N5" s="3"/>
      <c r="O5" s="3"/>
      <c r="P5" s="3"/>
      <c r="Q5" s="3"/>
      <c r="R5" s="3"/>
      <c r="S5" s="3"/>
    </row>
    <row r="6" spans="1:19" x14ac:dyDescent="0.25">
      <c r="A6" t="s">
        <v>27</v>
      </c>
      <c r="B6" t="s">
        <v>79</v>
      </c>
      <c r="D6" t="s">
        <v>28</v>
      </c>
      <c r="E6" t="s">
        <v>305</v>
      </c>
      <c r="F6" t="s">
        <v>56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x14ac:dyDescent="0.25">
      <c r="B7" t="s">
        <v>80</v>
      </c>
      <c r="C7" t="s">
        <v>95</v>
      </c>
      <c r="D7" t="s">
        <v>96</v>
      </c>
      <c r="E7">
        <v>1</v>
      </c>
      <c r="F7" t="s">
        <v>72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x14ac:dyDescent="0.25">
      <c r="B8" t="s">
        <v>80</v>
      </c>
      <c r="C8" t="s">
        <v>3</v>
      </c>
      <c r="D8" t="s">
        <v>96</v>
      </c>
      <c r="E8">
        <v>1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x14ac:dyDescent="0.25">
      <c r="B9" t="s">
        <v>80</v>
      </c>
      <c r="C9" t="s">
        <v>4</v>
      </c>
      <c r="D9" t="s">
        <v>96</v>
      </c>
      <c r="E9">
        <v>1</v>
      </c>
    </row>
    <row r="10" spans="1:19" x14ac:dyDescent="0.25">
      <c r="B10" t="s">
        <v>80</v>
      </c>
      <c r="C10" t="s">
        <v>95</v>
      </c>
      <c r="D10" t="s">
        <v>97</v>
      </c>
      <c r="E10">
        <v>5</v>
      </c>
      <c r="F10" t="s">
        <v>98</v>
      </c>
      <c r="L10" t="s">
        <v>104</v>
      </c>
      <c r="O10" t="s">
        <v>106</v>
      </c>
    </row>
    <row r="11" spans="1:19" x14ac:dyDescent="0.25">
      <c r="B11" t="s">
        <v>80</v>
      </c>
      <c r="C11" t="s">
        <v>3</v>
      </c>
      <c r="D11" t="s">
        <v>97</v>
      </c>
      <c r="E11">
        <v>5</v>
      </c>
      <c r="I11" t="s">
        <v>102</v>
      </c>
      <c r="L11" t="s">
        <v>105</v>
      </c>
    </row>
    <row r="12" spans="1:19" x14ac:dyDescent="0.25">
      <c r="B12" t="s">
        <v>80</v>
      </c>
      <c r="C12" t="s">
        <v>4</v>
      </c>
      <c r="D12" t="s">
        <v>97</v>
      </c>
      <c r="E12">
        <v>5</v>
      </c>
      <c r="K12" t="s">
        <v>103</v>
      </c>
    </row>
    <row r="13" spans="1:19" x14ac:dyDescent="0.25">
      <c r="B13" t="s">
        <v>80</v>
      </c>
      <c r="C13" t="s">
        <v>95</v>
      </c>
      <c r="D13" t="s">
        <v>99</v>
      </c>
      <c r="E13">
        <v>30</v>
      </c>
      <c r="F13" t="s">
        <v>100</v>
      </c>
      <c r="K13" t="s">
        <v>46</v>
      </c>
    </row>
    <row r="14" spans="1:19" x14ac:dyDescent="0.25">
      <c r="B14" t="s">
        <v>80</v>
      </c>
      <c r="C14" t="s">
        <v>3</v>
      </c>
      <c r="D14" t="s">
        <v>99</v>
      </c>
      <c r="E14">
        <v>30</v>
      </c>
    </row>
    <row r="15" spans="1:19" x14ac:dyDescent="0.25">
      <c r="B15" t="s">
        <v>80</v>
      </c>
      <c r="C15" t="s">
        <v>4</v>
      </c>
      <c r="D15" t="s">
        <v>99</v>
      </c>
      <c r="E15">
        <v>30</v>
      </c>
      <c r="K15" t="s">
        <v>109</v>
      </c>
      <c r="O15" t="s">
        <v>106</v>
      </c>
    </row>
    <row r="16" spans="1:19" x14ac:dyDescent="0.25">
      <c r="B16" t="s">
        <v>80</v>
      </c>
      <c r="C16" t="s">
        <v>95</v>
      </c>
      <c r="D16" t="s">
        <v>108</v>
      </c>
      <c r="L16" t="s">
        <v>110</v>
      </c>
    </row>
    <row r="17" spans="2:12" x14ac:dyDescent="0.25">
      <c r="B17" t="s">
        <v>80</v>
      </c>
      <c r="C17" t="s">
        <v>3</v>
      </c>
      <c r="D17" t="s">
        <v>108</v>
      </c>
      <c r="K17" t="s">
        <v>111</v>
      </c>
    </row>
    <row r="18" spans="2:12" x14ac:dyDescent="0.25">
      <c r="B18" t="s">
        <v>80</v>
      </c>
      <c r="C18" t="s">
        <v>4</v>
      </c>
      <c r="D18" t="s">
        <v>108</v>
      </c>
      <c r="L18" t="s">
        <v>112</v>
      </c>
    </row>
    <row r="19" spans="2:12" x14ac:dyDescent="0.25">
      <c r="B19" t="s">
        <v>80</v>
      </c>
      <c r="C19" t="s">
        <v>95</v>
      </c>
      <c r="D19" t="s">
        <v>101</v>
      </c>
      <c r="K19" t="s">
        <v>95</v>
      </c>
      <c r="L19">
        <v>81</v>
      </c>
    </row>
    <row r="20" spans="2:12" x14ac:dyDescent="0.25">
      <c r="B20" t="s">
        <v>80</v>
      </c>
      <c r="C20" t="s">
        <v>3</v>
      </c>
      <c r="D20" t="s">
        <v>101</v>
      </c>
      <c r="K20" t="s">
        <v>3</v>
      </c>
      <c r="L20">
        <v>91</v>
      </c>
    </row>
    <row r="21" spans="2:12" x14ac:dyDescent="0.25">
      <c r="B21" t="s">
        <v>80</v>
      </c>
      <c r="C21" t="s">
        <v>4</v>
      </c>
      <c r="D21" t="s">
        <v>101</v>
      </c>
      <c r="K21" t="s">
        <v>4</v>
      </c>
      <c r="L21">
        <v>72</v>
      </c>
    </row>
    <row r="22" spans="2:12" x14ac:dyDescent="0.25">
      <c r="B22" t="s">
        <v>114</v>
      </c>
      <c r="F22" t="s">
        <v>115</v>
      </c>
      <c r="G22" t="s">
        <v>131</v>
      </c>
      <c r="H22" t="s">
        <v>128</v>
      </c>
      <c r="I22" t="s">
        <v>129</v>
      </c>
    </row>
    <row r="23" spans="2:12" x14ac:dyDescent="0.25">
      <c r="B23">
        <v>1</v>
      </c>
      <c r="C23" t="s">
        <v>95</v>
      </c>
      <c r="D23" t="s">
        <v>96</v>
      </c>
      <c r="E23">
        <v>1</v>
      </c>
      <c r="F23">
        <f>L19</f>
        <v>81</v>
      </c>
      <c r="G23">
        <f>38*10</f>
        <v>380</v>
      </c>
      <c r="H23">
        <f>G23/F23/10</f>
        <v>0.46913580246913583</v>
      </c>
      <c r="I23">
        <f>LOG10($G$41/G23)</f>
        <v>-0.11738559871785405</v>
      </c>
      <c r="L23" t="s">
        <v>113</v>
      </c>
    </row>
    <row r="24" spans="2:12" x14ac:dyDescent="0.25">
      <c r="B24">
        <v>2</v>
      </c>
      <c r="C24" t="s">
        <v>95</v>
      </c>
      <c r="D24" t="s">
        <v>96</v>
      </c>
      <c r="E24">
        <v>1</v>
      </c>
      <c r="F24">
        <f>L19*10</f>
        <v>810</v>
      </c>
      <c r="G24" t="s">
        <v>63</v>
      </c>
    </row>
    <row r="25" spans="2:12" x14ac:dyDescent="0.25">
      <c r="B25">
        <v>3</v>
      </c>
      <c r="C25" t="s">
        <v>3</v>
      </c>
      <c r="D25" t="s">
        <v>96</v>
      </c>
      <c r="E25">
        <v>1</v>
      </c>
      <c r="F25">
        <f>L20</f>
        <v>91</v>
      </c>
      <c r="G25">
        <f>50*10</f>
        <v>500</v>
      </c>
      <c r="H25">
        <f t="shared" ref="H25:H43" si="0">G25/F25/10</f>
        <v>0.5494505494505495</v>
      </c>
      <c r="I25">
        <f>LOG10($G$42/G25)</f>
        <v>-0.11918640771920865</v>
      </c>
    </row>
    <row r="26" spans="2:12" x14ac:dyDescent="0.25">
      <c r="B26">
        <v>4</v>
      </c>
      <c r="C26" t="s">
        <v>3</v>
      </c>
      <c r="D26" t="s">
        <v>96</v>
      </c>
      <c r="E26">
        <v>1</v>
      </c>
      <c r="F26">
        <f>L20*10</f>
        <v>910</v>
      </c>
      <c r="G26" t="s">
        <v>63</v>
      </c>
    </row>
    <row r="27" spans="2:12" x14ac:dyDescent="0.25">
      <c r="B27">
        <v>5</v>
      </c>
      <c r="C27" t="s">
        <v>4</v>
      </c>
      <c r="D27" t="s">
        <v>96</v>
      </c>
      <c r="E27">
        <v>1</v>
      </c>
      <c r="F27">
        <f>L21</f>
        <v>72</v>
      </c>
      <c r="G27">
        <f>57*10</f>
        <v>570</v>
      </c>
      <c r="H27">
        <f t="shared" si="0"/>
        <v>0.79166666666666674</v>
      </c>
      <c r="I27">
        <f>LOG10($G$43/G27)</f>
        <v>-0.29347685777353527</v>
      </c>
    </row>
    <row r="28" spans="2:12" x14ac:dyDescent="0.25">
      <c r="B28">
        <v>6</v>
      </c>
      <c r="C28" t="s">
        <v>4</v>
      </c>
      <c r="D28" t="s">
        <v>96</v>
      </c>
      <c r="E28">
        <v>1</v>
      </c>
      <c r="F28">
        <f>L21*10</f>
        <v>720</v>
      </c>
      <c r="G28" t="s">
        <v>63</v>
      </c>
    </row>
    <row r="29" spans="2:12" x14ac:dyDescent="0.25">
      <c r="B29">
        <v>7</v>
      </c>
      <c r="C29" t="s">
        <v>95</v>
      </c>
      <c r="D29" t="s">
        <v>97</v>
      </c>
      <c r="E29">
        <v>5</v>
      </c>
      <c r="F29">
        <v>810</v>
      </c>
      <c r="G29" t="s">
        <v>63</v>
      </c>
    </row>
    <row r="30" spans="2:12" x14ac:dyDescent="0.25">
      <c r="B30">
        <v>8</v>
      </c>
      <c r="C30" t="s">
        <v>3</v>
      </c>
      <c r="D30" t="s">
        <v>97</v>
      </c>
      <c r="E30">
        <v>5</v>
      </c>
      <c r="F30">
        <v>910</v>
      </c>
      <c r="G30" t="s">
        <v>63</v>
      </c>
    </row>
    <row r="31" spans="2:12" x14ac:dyDescent="0.25">
      <c r="B31">
        <v>9</v>
      </c>
      <c r="C31" t="s">
        <v>4</v>
      </c>
      <c r="D31" t="s">
        <v>97</v>
      </c>
      <c r="E31">
        <v>5</v>
      </c>
      <c r="F31">
        <v>720</v>
      </c>
      <c r="G31" t="s">
        <v>63</v>
      </c>
    </row>
    <row r="32" spans="2:12" x14ac:dyDescent="0.25">
      <c r="B32">
        <v>10</v>
      </c>
      <c r="C32" t="s">
        <v>95</v>
      </c>
      <c r="D32" t="s">
        <v>99</v>
      </c>
      <c r="E32">
        <v>30</v>
      </c>
      <c r="F32">
        <v>810</v>
      </c>
      <c r="G32">
        <v>0</v>
      </c>
      <c r="H32">
        <f t="shared" si="0"/>
        <v>0</v>
      </c>
      <c r="I32">
        <f>LOG10($G$41)</f>
        <v>2.4623979978989561</v>
      </c>
      <c r="J32" t="s">
        <v>63</v>
      </c>
    </row>
    <row r="33" spans="2:10" x14ac:dyDescent="0.25">
      <c r="B33">
        <v>11</v>
      </c>
      <c r="C33" t="s">
        <v>3</v>
      </c>
      <c r="D33" t="s">
        <v>99</v>
      </c>
      <c r="E33">
        <v>30</v>
      </c>
      <c r="F33">
        <v>910</v>
      </c>
      <c r="G33">
        <v>0</v>
      </c>
      <c r="H33">
        <f t="shared" si="0"/>
        <v>0</v>
      </c>
      <c r="I33">
        <f>LOG10($G$42)</f>
        <v>2.5797835966168101</v>
      </c>
      <c r="J33" t="s">
        <v>63</v>
      </c>
    </row>
    <row r="34" spans="2:10" x14ac:dyDescent="0.25">
      <c r="B34">
        <v>12</v>
      </c>
      <c r="C34" t="s">
        <v>4</v>
      </c>
      <c r="D34" t="s">
        <v>99</v>
      </c>
      <c r="E34">
        <v>30</v>
      </c>
      <c r="F34">
        <v>720</v>
      </c>
      <c r="G34">
        <v>1</v>
      </c>
      <c r="H34">
        <f t="shared" si="0"/>
        <v>1.3888888888888889E-4</v>
      </c>
      <c r="I34">
        <f>LOG10($G$43/G34)</f>
        <v>2.4623979978989561</v>
      </c>
      <c r="J34" t="s">
        <v>130</v>
      </c>
    </row>
    <row r="35" spans="2:10" x14ac:dyDescent="0.25">
      <c r="B35">
        <v>13</v>
      </c>
      <c r="C35" t="s">
        <v>95</v>
      </c>
      <c r="D35" t="s">
        <v>108</v>
      </c>
      <c r="F35">
        <v>81</v>
      </c>
      <c r="G35">
        <f>39*10</f>
        <v>390</v>
      </c>
      <c r="H35">
        <f t="shared" si="0"/>
        <v>0.48148148148148151</v>
      </c>
      <c r="I35">
        <f>LOG10($G$41/G35)</f>
        <v>-0.1286666091275431</v>
      </c>
    </row>
    <row r="36" spans="2:10" x14ac:dyDescent="0.25">
      <c r="B36">
        <v>14</v>
      </c>
      <c r="C36" t="s">
        <v>95</v>
      </c>
      <c r="D36" t="s">
        <v>108</v>
      </c>
      <c r="F36">
        <v>810</v>
      </c>
      <c r="G36" t="s">
        <v>63</v>
      </c>
    </row>
    <row r="37" spans="2:10" x14ac:dyDescent="0.25">
      <c r="B37">
        <v>15</v>
      </c>
      <c r="C37" t="s">
        <v>3</v>
      </c>
      <c r="D37" t="s">
        <v>108</v>
      </c>
      <c r="F37">
        <v>91</v>
      </c>
      <c r="G37">
        <f>50*10</f>
        <v>500</v>
      </c>
      <c r="H37">
        <f t="shared" si="0"/>
        <v>0.5494505494505495</v>
      </c>
      <c r="I37">
        <f>LOG10($G$42/G37)</f>
        <v>-0.11918640771920865</v>
      </c>
    </row>
    <row r="38" spans="2:10" x14ac:dyDescent="0.25">
      <c r="B38">
        <v>16</v>
      </c>
      <c r="C38" t="s">
        <v>3</v>
      </c>
      <c r="D38" t="s">
        <v>108</v>
      </c>
      <c r="F38">
        <v>910</v>
      </c>
      <c r="G38" t="s">
        <v>63</v>
      </c>
    </row>
    <row r="39" spans="2:10" x14ac:dyDescent="0.25">
      <c r="B39">
        <v>17</v>
      </c>
      <c r="C39" t="s">
        <v>4</v>
      </c>
      <c r="D39" t="s">
        <v>108</v>
      </c>
      <c r="F39">
        <v>72</v>
      </c>
      <c r="G39">
        <f>21*10</f>
        <v>210</v>
      </c>
      <c r="H39">
        <f t="shared" si="0"/>
        <v>0.29166666666666663</v>
      </c>
      <c r="I39">
        <f>LOG10($G$43/G39)</f>
        <v>0.14017870316503681</v>
      </c>
    </row>
    <row r="40" spans="2:10" x14ac:dyDescent="0.25">
      <c r="B40">
        <v>18</v>
      </c>
      <c r="C40" t="s">
        <v>4</v>
      </c>
      <c r="D40" t="s">
        <v>108</v>
      </c>
      <c r="F40">
        <v>720</v>
      </c>
      <c r="G40" t="s">
        <v>63</v>
      </c>
    </row>
    <row r="41" spans="2:10" x14ac:dyDescent="0.25">
      <c r="B41">
        <v>19</v>
      </c>
      <c r="C41" t="s">
        <v>95</v>
      </c>
      <c r="D41" t="s">
        <v>101</v>
      </c>
      <c r="F41">
        <v>81</v>
      </c>
      <c r="G41">
        <f>29*10</f>
        <v>290</v>
      </c>
      <c r="H41">
        <f t="shared" si="0"/>
        <v>0.35802469135802467</v>
      </c>
      <c r="I41">
        <f>LOG10(G41/$G$41)</f>
        <v>0</v>
      </c>
    </row>
    <row r="42" spans="2:10" x14ac:dyDescent="0.25">
      <c r="B42">
        <v>20</v>
      </c>
      <c r="C42" t="s">
        <v>3</v>
      </c>
      <c r="D42" t="s">
        <v>101</v>
      </c>
      <c r="F42">
        <v>91</v>
      </c>
      <c r="G42">
        <f>38*10</f>
        <v>380</v>
      </c>
      <c r="H42">
        <f t="shared" si="0"/>
        <v>0.4175824175824176</v>
      </c>
      <c r="I42">
        <f>LOG10($G$42/G42)</f>
        <v>0</v>
      </c>
    </row>
    <row r="43" spans="2:10" x14ac:dyDescent="0.25">
      <c r="B43">
        <v>21</v>
      </c>
      <c r="C43" t="s">
        <v>4</v>
      </c>
      <c r="D43" t="s">
        <v>101</v>
      </c>
      <c r="F43">
        <v>72</v>
      </c>
      <c r="G43">
        <f>29*10</f>
        <v>290</v>
      </c>
      <c r="H43">
        <f t="shared" si="0"/>
        <v>0.40277777777777779</v>
      </c>
    </row>
  </sheetData>
  <pageMargins left="0.70866141732283472" right="0.70866141732283472" top="0.74803149606299213" bottom="0.74803149606299213" header="0.31496062992125984" footer="0.31496062992125984"/>
  <pageSetup paperSize="9" scale="63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workbookViewId="0"/>
  </sheetViews>
  <sheetFormatPr defaultRowHeight="15" x14ac:dyDescent="0.25"/>
  <cols>
    <col min="2" max="2" width="19.28515625" customWidth="1"/>
    <col min="4" max="4" width="14.28515625" customWidth="1"/>
    <col min="5" max="5" width="18.140625" customWidth="1"/>
    <col min="6" max="6" width="8.140625" style="6" customWidth="1"/>
    <col min="7" max="7" width="7.42578125" customWidth="1"/>
    <col min="8" max="8" width="10.85546875" customWidth="1"/>
    <col min="9" max="9" width="13.85546875" customWidth="1"/>
    <col min="10" max="10" width="34.7109375" customWidth="1"/>
  </cols>
  <sheetData>
    <row r="1" spans="1:21" x14ac:dyDescent="0.25">
      <c r="A1" t="s">
        <v>0</v>
      </c>
      <c r="J1" s="1">
        <v>41787</v>
      </c>
    </row>
    <row r="2" spans="1:21" x14ac:dyDescent="0.25">
      <c r="A2" s="31" t="s">
        <v>335</v>
      </c>
      <c r="E2" t="s">
        <v>149</v>
      </c>
    </row>
    <row r="3" spans="1:21" x14ac:dyDescent="0.25">
      <c r="A3" t="s">
        <v>1</v>
      </c>
      <c r="E3" t="s">
        <v>144</v>
      </c>
    </row>
    <row r="4" spans="1:21" x14ac:dyDescent="0.25">
      <c r="K4" t="s">
        <v>37</v>
      </c>
      <c r="O4" s="3"/>
      <c r="P4" s="3"/>
      <c r="Q4" s="3"/>
      <c r="R4" s="3"/>
      <c r="S4" s="3"/>
      <c r="T4" s="3"/>
      <c r="U4" s="3"/>
    </row>
    <row r="5" spans="1:21" x14ac:dyDescent="0.25">
      <c r="O5" s="3"/>
      <c r="P5" s="3"/>
      <c r="Q5" s="3">
        <f>5*120</f>
        <v>600</v>
      </c>
      <c r="R5" s="3"/>
      <c r="S5" s="3"/>
      <c r="T5" s="3"/>
      <c r="U5" s="3"/>
    </row>
    <row r="6" spans="1:21" x14ac:dyDescent="0.25">
      <c r="A6" t="s">
        <v>3</v>
      </c>
      <c r="B6" t="s">
        <v>28</v>
      </c>
      <c r="D6" t="s">
        <v>152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x14ac:dyDescent="0.25">
      <c r="A7">
        <v>1</v>
      </c>
      <c r="B7" t="s">
        <v>147</v>
      </c>
      <c r="D7" t="s">
        <v>153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x14ac:dyDescent="0.25">
      <c r="A8">
        <v>2</v>
      </c>
      <c r="B8" t="s">
        <v>99</v>
      </c>
      <c r="D8">
        <v>10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x14ac:dyDescent="0.25">
      <c r="A9">
        <v>3</v>
      </c>
      <c r="B9" t="s">
        <v>148</v>
      </c>
      <c r="D9">
        <v>10</v>
      </c>
    </row>
    <row r="10" spans="1:21" x14ac:dyDescent="0.25">
      <c r="A10">
        <v>4</v>
      </c>
      <c r="B10" t="s">
        <v>151</v>
      </c>
      <c r="D10">
        <v>10</v>
      </c>
      <c r="N10" t="s">
        <v>104</v>
      </c>
      <c r="Q10" t="s">
        <v>150</v>
      </c>
    </row>
    <row r="11" spans="1:21" x14ac:dyDescent="0.25">
      <c r="A11">
        <v>5</v>
      </c>
      <c r="B11" t="s">
        <v>101</v>
      </c>
      <c r="D11" t="s">
        <v>154</v>
      </c>
      <c r="K11" t="s">
        <v>102</v>
      </c>
      <c r="N11" t="s">
        <v>105</v>
      </c>
    </row>
    <row r="12" spans="1:21" x14ac:dyDescent="0.25">
      <c r="A12">
        <v>6</v>
      </c>
      <c r="M12" t="s">
        <v>145</v>
      </c>
    </row>
    <row r="13" spans="1:21" x14ac:dyDescent="0.25">
      <c r="A13">
        <v>7</v>
      </c>
      <c r="M13" t="s">
        <v>46</v>
      </c>
      <c r="Q13">
        <f>Q19*100</f>
        <v>8733.3333333333321</v>
      </c>
      <c r="R13">
        <f>Q13/100</f>
        <v>87.333333333333314</v>
      </c>
      <c r="S13" t="s">
        <v>171</v>
      </c>
    </row>
    <row r="14" spans="1:21" x14ac:dyDescent="0.25">
      <c r="A14">
        <v>8</v>
      </c>
    </row>
    <row r="15" spans="1:21" x14ac:dyDescent="0.25">
      <c r="A15">
        <v>9</v>
      </c>
      <c r="M15" t="s">
        <v>109</v>
      </c>
      <c r="Q15" t="s">
        <v>150</v>
      </c>
    </row>
    <row r="16" spans="1:21" x14ac:dyDescent="0.25">
      <c r="A16">
        <v>10</v>
      </c>
      <c r="N16" t="s">
        <v>110</v>
      </c>
    </row>
    <row r="17" spans="1:19" x14ac:dyDescent="0.25">
      <c r="A17">
        <v>11</v>
      </c>
      <c r="M17" t="s">
        <v>146</v>
      </c>
    </row>
    <row r="18" spans="1:19" x14ac:dyDescent="0.25">
      <c r="A18">
        <v>12</v>
      </c>
      <c r="N18" t="s">
        <v>112</v>
      </c>
      <c r="Q18" t="s">
        <v>342</v>
      </c>
    </row>
    <row r="19" spans="1:19" x14ac:dyDescent="0.25">
      <c r="M19" t="s">
        <v>3</v>
      </c>
      <c r="N19">
        <v>73</v>
      </c>
      <c r="Q19">
        <f>AVERAGE(N19:N21)</f>
        <v>87.333333333333329</v>
      </c>
      <c r="R19">
        <f>Q19/100</f>
        <v>0.87333333333333329</v>
      </c>
      <c r="S19" t="s">
        <v>170</v>
      </c>
    </row>
    <row r="20" spans="1:19" x14ac:dyDescent="0.25">
      <c r="M20" t="s">
        <v>3</v>
      </c>
      <c r="N20">
        <v>86</v>
      </c>
      <c r="Q20">
        <f>STDEV(N19:N21)</f>
        <v>15.044378795195698</v>
      </c>
    </row>
    <row r="21" spans="1:19" x14ac:dyDescent="0.25">
      <c r="M21" t="s">
        <v>3</v>
      </c>
      <c r="N21">
        <v>103</v>
      </c>
      <c r="O21" t="s">
        <v>156</v>
      </c>
    </row>
    <row r="22" spans="1:19" x14ac:dyDescent="0.25">
      <c r="A22" t="s">
        <v>114</v>
      </c>
      <c r="B22" t="s">
        <v>155</v>
      </c>
      <c r="C22" t="s">
        <v>306</v>
      </c>
      <c r="D22" t="s">
        <v>304</v>
      </c>
      <c r="E22" t="s">
        <v>157</v>
      </c>
      <c r="F22" t="s">
        <v>115</v>
      </c>
      <c r="G22" s="6" t="s">
        <v>173</v>
      </c>
      <c r="H22" t="s">
        <v>172</v>
      </c>
      <c r="I22" t="s">
        <v>178</v>
      </c>
      <c r="J22" t="s">
        <v>177</v>
      </c>
      <c r="K22" t="s">
        <v>176</v>
      </c>
      <c r="L22" t="s">
        <v>179</v>
      </c>
    </row>
    <row r="23" spans="1:19" x14ac:dyDescent="0.25">
      <c r="A23">
        <v>1</v>
      </c>
      <c r="B23" t="s">
        <v>147</v>
      </c>
      <c r="C23">
        <v>15</v>
      </c>
      <c r="D23">
        <v>55</v>
      </c>
      <c r="E23" t="s">
        <v>159</v>
      </c>
      <c r="F23">
        <f>$R$13*20</f>
        <v>1746.6666666666663</v>
      </c>
      <c r="G23" s="6" t="s">
        <v>174</v>
      </c>
      <c r="H23">
        <v>0</v>
      </c>
      <c r="J23">
        <f>F23*$G$42</f>
        <v>946.66666666666652</v>
      </c>
      <c r="K23">
        <f>LOG10(J23)</f>
        <v>2.9761970853273754</v>
      </c>
      <c r="L23">
        <f>LOG10(SUM(J23:J25))</f>
        <v>3.4533183400470375</v>
      </c>
      <c r="N23" t="s">
        <v>113</v>
      </c>
    </row>
    <row r="24" spans="1:19" x14ac:dyDescent="0.25">
      <c r="A24">
        <v>2</v>
      </c>
      <c r="B24" t="s">
        <v>147</v>
      </c>
      <c r="C24">
        <v>15</v>
      </c>
      <c r="D24">
        <v>55</v>
      </c>
      <c r="E24" t="s">
        <v>159</v>
      </c>
      <c r="F24">
        <f>$R$13*20</f>
        <v>1746.6666666666663</v>
      </c>
      <c r="G24" s="6" t="s">
        <v>174</v>
      </c>
      <c r="H24">
        <v>0</v>
      </c>
      <c r="J24">
        <f t="shared" ref="J24:J37" si="0">F24*$G$42</f>
        <v>946.66666666666652</v>
      </c>
      <c r="K24">
        <f t="shared" ref="K24:K37" si="1">LOG10(J24)</f>
        <v>2.9761970853273754</v>
      </c>
    </row>
    <row r="25" spans="1:19" x14ac:dyDescent="0.25">
      <c r="A25">
        <v>3</v>
      </c>
      <c r="B25" t="s">
        <v>147</v>
      </c>
      <c r="C25">
        <v>15</v>
      </c>
      <c r="D25">
        <v>55</v>
      </c>
      <c r="E25" t="s">
        <v>159</v>
      </c>
      <c r="F25">
        <f>$R$13*20</f>
        <v>1746.6666666666663</v>
      </c>
      <c r="G25" s="6" t="s">
        <v>174</v>
      </c>
      <c r="H25">
        <v>0</v>
      </c>
      <c r="J25">
        <f t="shared" si="0"/>
        <v>946.66666666666652</v>
      </c>
      <c r="K25">
        <f t="shared" si="1"/>
        <v>2.9761970853273754</v>
      </c>
    </row>
    <row r="26" spans="1:19" x14ac:dyDescent="0.25">
      <c r="A26">
        <v>4</v>
      </c>
      <c r="B26" t="s">
        <v>147</v>
      </c>
      <c r="C26">
        <v>15</v>
      </c>
      <c r="D26">
        <v>55</v>
      </c>
      <c r="E26" t="s">
        <v>158</v>
      </c>
      <c r="F26">
        <f>$R$19*200</f>
        <v>174.66666666666666</v>
      </c>
      <c r="G26" s="6" t="s">
        <v>174</v>
      </c>
      <c r="H26">
        <v>0</v>
      </c>
      <c r="J26">
        <f t="shared" si="0"/>
        <v>94.666666666666657</v>
      </c>
      <c r="K26">
        <f t="shared" si="1"/>
        <v>1.9761970853273751</v>
      </c>
    </row>
    <row r="27" spans="1:19" x14ac:dyDescent="0.25">
      <c r="A27">
        <v>5</v>
      </c>
      <c r="B27" t="s">
        <v>147</v>
      </c>
      <c r="C27">
        <v>15</v>
      </c>
      <c r="D27">
        <v>55</v>
      </c>
      <c r="E27" t="s">
        <v>158</v>
      </c>
      <c r="F27">
        <f t="shared" ref="F27:F28" si="2">$R$19*200</f>
        <v>174.66666666666666</v>
      </c>
      <c r="G27" s="6" t="s">
        <v>60</v>
      </c>
      <c r="H27">
        <v>0</v>
      </c>
      <c r="J27">
        <f t="shared" si="0"/>
        <v>94.666666666666657</v>
      </c>
      <c r="K27">
        <f t="shared" si="1"/>
        <v>1.9761970853273751</v>
      </c>
    </row>
    <row r="28" spans="1:19" x14ac:dyDescent="0.25">
      <c r="A28">
        <v>6</v>
      </c>
      <c r="B28" t="s">
        <v>147</v>
      </c>
      <c r="C28">
        <v>15</v>
      </c>
      <c r="D28">
        <v>55</v>
      </c>
      <c r="E28" t="s">
        <v>158</v>
      </c>
      <c r="F28">
        <f t="shared" si="2"/>
        <v>174.66666666666666</v>
      </c>
      <c r="G28" s="6" t="s">
        <v>60</v>
      </c>
      <c r="H28">
        <v>0</v>
      </c>
      <c r="J28">
        <f t="shared" si="0"/>
        <v>94.666666666666657</v>
      </c>
      <c r="K28">
        <f t="shared" si="1"/>
        <v>1.9761970853273751</v>
      </c>
    </row>
    <row r="29" spans="1:19" x14ac:dyDescent="0.25">
      <c r="A29">
        <v>7</v>
      </c>
      <c r="B29" t="s">
        <v>99</v>
      </c>
      <c r="C29">
        <v>30</v>
      </c>
      <c r="D29">
        <v>55</v>
      </c>
      <c r="E29" t="s">
        <v>159</v>
      </c>
      <c r="F29">
        <f t="shared" ref="F29:F37" si="3">$R$13*20</f>
        <v>1746.6666666666663</v>
      </c>
      <c r="G29" s="6" t="s">
        <v>174</v>
      </c>
      <c r="H29">
        <v>0</v>
      </c>
      <c r="J29">
        <f t="shared" si="0"/>
        <v>946.66666666666652</v>
      </c>
      <c r="K29">
        <f t="shared" si="1"/>
        <v>2.9761970853273754</v>
      </c>
    </row>
    <row r="30" spans="1:19" x14ac:dyDescent="0.25">
      <c r="A30">
        <v>8</v>
      </c>
      <c r="B30" t="s">
        <v>99</v>
      </c>
      <c r="C30">
        <v>30</v>
      </c>
      <c r="D30">
        <v>55</v>
      </c>
      <c r="E30" t="s">
        <v>159</v>
      </c>
      <c r="F30">
        <f t="shared" si="3"/>
        <v>1746.6666666666663</v>
      </c>
      <c r="G30" s="6" t="s">
        <v>174</v>
      </c>
      <c r="H30">
        <v>0</v>
      </c>
      <c r="J30">
        <f t="shared" si="0"/>
        <v>946.66666666666652</v>
      </c>
      <c r="K30">
        <f t="shared" si="1"/>
        <v>2.9761970853273754</v>
      </c>
    </row>
    <row r="31" spans="1:19" x14ac:dyDescent="0.25">
      <c r="A31">
        <v>9</v>
      </c>
      <c r="B31" t="s">
        <v>99</v>
      </c>
      <c r="C31">
        <v>30</v>
      </c>
      <c r="D31">
        <v>55</v>
      </c>
      <c r="E31" t="s">
        <v>159</v>
      </c>
      <c r="F31">
        <f t="shared" si="3"/>
        <v>1746.6666666666663</v>
      </c>
      <c r="G31" s="6" t="s">
        <v>174</v>
      </c>
      <c r="H31">
        <v>0</v>
      </c>
      <c r="J31">
        <f t="shared" si="0"/>
        <v>946.66666666666652</v>
      </c>
      <c r="K31">
        <f t="shared" si="1"/>
        <v>2.9761970853273754</v>
      </c>
    </row>
    <row r="32" spans="1:19" x14ac:dyDescent="0.25">
      <c r="A32">
        <v>10</v>
      </c>
      <c r="B32" t="s">
        <v>148</v>
      </c>
      <c r="C32">
        <v>15</v>
      </c>
      <c r="D32">
        <v>66</v>
      </c>
      <c r="E32" t="s">
        <v>159</v>
      </c>
      <c r="F32">
        <f t="shared" si="3"/>
        <v>1746.6666666666663</v>
      </c>
      <c r="G32" s="6"/>
      <c r="H32">
        <v>0</v>
      </c>
      <c r="J32">
        <f t="shared" si="0"/>
        <v>946.66666666666652</v>
      </c>
      <c r="K32">
        <f t="shared" si="1"/>
        <v>2.9761970853273754</v>
      </c>
    </row>
    <row r="33" spans="1:11" x14ac:dyDescent="0.25">
      <c r="A33">
        <v>11</v>
      </c>
      <c r="B33" t="s">
        <v>148</v>
      </c>
      <c r="C33">
        <v>15</v>
      </c>
      <c r="D33">
        <v>65</v>
      </c>
      <c r="E33" t="s">
        <v>159</v>
      </c>
      <c r="F33">
        <f t="shared" si="3"/>
        <v>1746.6666666666663</v>
      </c>
      <c r="G33" s="6"/>
      <c r="H33">
        <v>0</v>
      </c>
      <c r="J33">
        <f t="shared" si="0"/>
        <v>946.66666666666652</v>
      </c>
      <c r="K33">
        <f t="shared" si="1"/>
        <v>2.9761970853273754</v>
      </c>
    </row>
    <row r="34" spans="1:11" x14ac:dyDescent="0.25">
      <c r="A34">
        <v>12</v>
      </c>
      <c r="B34" t="s">
        <v>148</v>
      </c>
      <c r="C34">
        <v>15</v>
      </c>
      <c r="D34">
        <v>65</v>
      </c>
      <c r="E34" t="s">
        <v>159</v>
      </c>
      <c r="F34">
        <f t="shared" si="3"/>
        <v>1746.6666666666663</v>
      </c>
      <c r="G34" s="6"/>
      <c r="H34">
        <v>0</v>
      </c>
      <c r="J34">
        <f t="shared" si="0"/>
        <v>946.66666666666652</v>
      </c>
      <c r="K34">
        <f t="shared" si="1"/>
        <v>2.9761970853273754</v>
      </c>
    </row>
    <row r="35" spans="1:11" x14ac:dyDescent="0.25">
      <c r="A35">
        <v>13</v>
      </c>
      <c r="B35" t="s">
        <v>151</v>
      </c>
      <c r="C35">
        <v>5</v>
      </c>
      <c r="D35">
        <v>75</v>
      </c>
      <c r="E35" t="s">
        <v>159</v>
      </c>
      <c r="F35">
        <f t="shared" si="3"/>
        <v>1746.6666666666663</v>
      </c>
      <c r="G35" s="6"/>
      <c r="H35">
        <v>0</v>
      </c>
      <c r="J35">
        <f t="shared" si="0"/>
        <v>946.66666666666652</v>
      </c>
      <c r="K35">
        <f t="shared" si="1"/>
        <v>2.9761970853273754</v>
      </c>
    </row>
    <row r="36" spans="1:11" x14ac:dyDescent="0.25">
      <c r="A36">
        <v>14</v>
      </c>
      <c r="B36" t="s">
        <v>151</v>
      </c>
      <c r="C36">
        <v>5</v>
      </c>
      <c r="D36">
        <v>75</v>
      </c>
      <c r="E36" t="s">
        <v>159</v>
      </c>
      <c r="F36">
        <f t="shared" si="3"/>
        <v>1746.6666666666663</v>
      </c>
      <c r="G36" s="6"/>
      <c r="H36">
        <v>0</v>
      </c>
      <c r="J36">
        <f t="shared" si="0"/>
        <v>946.66666666666652</v>
      </c>
      <c r="K36">
        <f t="shared" si="1"/>
        <v>2.9761970853273754</v>
      </c>
    </row>
    <row r="37" spans="1:11" x14ac:dyDescent="0.25">
      <c r="A37">
        <v>15</v>
      </c>
      <c r="B37" t="s">
        <v>151</v>
      </c>
      <c r="C37">
        <v>5</v>
      </c>
      <c r="D37">
        <v>75</v>
      </c>
      <c r="E37" t="s">
        <v>159</v>
      </c>
      <c r="F37">
        <f t="shared" si="3"/>
        <v>1746.6666666666663</v>
      </c>
      <c r="G37" s="6"/>
      <c r="H37">
        <v>0</v>
      </c>
      <c r="J37">
        <f t="shared" si="0"/>
        <v>946.66666666666652</v>
      </c>
      <c r="K37">
        <f t="shared" si="1"/>
        <v>2.9761970853273754</v>
      </c>
    </row>
    <row r="38" spans="1:11" x14ac:dyDescent="0.25">
      <c r="A38">
        <v>16</v>
      </c>
      <c r="B38" t="s">
        <v>101</v>
      </c>
      <c r="E38" t="s">
        <v>158</v>
      </c>
      <c r="F38">
        <f t="shared" ref="F38:F40" si="4">$R$19*200</f>
        <v>174.66666666666666</v>
      </c>
      <c r="G38" s="6"/>
      <c r="H38">
        <v>109</v>
      </c>
      <c r="I38">
        <f>H38/F38</f>
        <v>0.62404580152671763</v>
      </c>
    </row>
    <row r="39" spans="1:11" x14ac:dyDescent="0.25">
      <c r="A39">
        <v>17</v>
      </c>
      <c r="B39" t="s">
        <v>101</v>
      </c>
      <c r="E39" t="s">
        <v>158</v>
      </c>
      <c r="F39">
        <f t="shared" si="4"/>
        <v>174.66666666666666</v>
      </c>
      <c r="G39" s="6"/>
      <c r="H39">
        <v>86</v>
      </c>
      <c r="I39">
        <f t="shared" ref="I39:I40" si="5">H39/F39</f>
        <v>0.4923664122137405</v>
      </c>
    </row>
    <row r="40" spans="1:11" x14ac:dyDescent="0.25">
      <c r="A40">
        <v>18</v>
      </c>
      <c r="B40" t="s">
        <v>101</v>
      </c>
      <c r="E40" t="s">
        <v>158</v>
      </c>
      <c r="F40">
        <f t="shared" si="4"/>
        <v>174.66666666666666</v>
      </c>
      <c r="G40" s="6"/>
      <c r="H40">
        <v>89</v>
      </c>
      <c r="I40">
        <f t="shared" si="5"/>
        <v>0.50954198473282442</v>
      </c>
    </row>
    <row r="42" spans="1:11" x14ac:dyDescent="0.25">
      <c r="E42" t="s">
        <v>175</v>
      </c>
      <c r="G42">
        <f>AVERAGE(I38:I40)</f>
        <v>0.5419847328244275</v>
      </c>
    </row>
    <row r="43" spans="1:11" x14ac:dyDescent="0.25">
      <c r="E43" t="s">
        <v>167</v>
      </c>
      <c r="G43">
        <f>STDEV(I38:I40)</f>
        <v>7.1583966921797332E-2</v>
      </c>
    </row>
  </sheetData>
  <pageMargins left="0.70866141732283472" right="0.70866141732283472" top="0.74803149606299213" bottom="0.74803149606299213" header="0.31496062992125984" footer="0.31496062992125984"/>
  <pageSetup paperSize="9" scale="59" orientation="landscape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workbookViewId="0"/>
  </sheetViews>
  <sheetFormatPr defaultRowHeight="15" x14ac:dyDescent="0.25"/>
  <cols>
    <col min="2" max="3" width="16.7109375" customWidth="1"/>
    <col min="4" max="4" width="13.7109375" customWidth="1"/>
    <col min="5" max="5" width="21.7109375" customWidth="1"/>
    <col min="6" max="6" width="13.5703125" customWidth="1"/>
    <col min="7" max="7" width="8.140625" style="6" customWidth="1"/>
    <col min="8" max="8" width="7.42578125" customWidth="1"/>
    <col min="9" max="9" width="10.85546875" customWidth="1"/>
    <col min="10" max="10" width="13.85546875" customWidth="1"/>
    <col min="11" max="11" width="24" customWidth="1"/>
  </cols>
  <sheetData>
    <row r="1" spans="1:22" x14ac:dyDescent="0.25">
      <c r="A1" t="s">
        <v>0</v>
      </c>
      <c r="K1" s="1">
        <v>41794</v>
      </c>
    </row>
    <row r="2" spans="1:22" x14ac:dyDescent="0.25">
      <c r="A2" s="31" t="s">
        <v>335</v>
      </c>
      <c r="F2">
        <v>55</v>
      </c>
    </row>
    <row r="3" spans="1:22" x14ac:dyDescent="0.25">
      <c r="A3" t="s">
        <v>1</v>
      </c>
      <c r="F3">
        <v>15</v>
      </c>
    </row>
    <row r="4" spans="1:22" x14ac:dyDescent="0.25">
      <c r="L4" t="s">
        <v>37</v>
      </c>
      <c r="P4" s="3"/>
      <c r="Q4" s="3"/>
      <c r="R4" s="3"/>
      <c r="S4" s="3"/>
      <c r="T4" s="3"/>
      <c r="U4" s="3"/>
      <c r="V4" s="3"/>
    </row>
    <row r="5" spans="1:22" x14ac:dyDescent="0.25">
      <c r="A5" t="s">
        <v>3</v>
      </c>
      <c r="B5" t="s">
        <v>28</v>
      </c>
      <c r="E5" t="s">
        <v>152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x14ac:dyDescent="0.25">
      <c r="A6">
        <v>1</v>
      </c>
      <c r="B6" t="s">
        <v>147</v>
      </c>
      <c r="E6" t="s">
        <v>181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25">
      <c r="A7">
        <v>2</v>
      </c>
      <c r="B7" t="s">
        <v>147</v>
      </c>
      <c r="E7" t="s">
        <v>181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x14ac:dyDescent="0.25">
      <c r="A8">
        <v>3</v>
      </c>
      <c r="B8" t="s">
        <v>147</v>
      </c>
      <c r="E8" t="s">
        <v>182</v>
      </c>
    </row>
    <row r="9" spans="1:22" x14ac:dyDescent="0.25">
      <c r="A9">
        <v>4</v>
      </c>
      <c r="B9" t="s">
        <v>147</v>
      </c>
      <c r="E9">
        <v>100</v>
      </c>
      <c r="O9" t="s">
        <v>104</v>
      </c>
      <c r="R9" t="s">
        <v>180</v>
      </c>
    </row>
    <row r="10" spans="1:22" x14ac:dyDescent="0.25">
      <c r="A10">
        <v>5</v>
      </c>
      <c r="B10" t="s">
        <v>147</v>
      </c>
      <c r="E10">
        <v>100</v>
      </c>
      <c r="L10" t="s">
        <v>102</v>
      </c>
      <c r="O10" t="s">
        <v>105</v>
      </c>
    </row>
    <row r="11" spans="1:22" x14ac:dyDescent="0.25">
      <c r="A11">
        <v>6</v>
      </c>
      <c r="B11" t="s">
        <v>147</v>
      </c>
      <c r="E11">
        <v>100</v>
      </c>
      <c r="F11" s="7" t="s">
        <v>183</v>
      </c>
      <c r="N11" t="s">
        <v>145</v>
      </c>
    </row>
    <row r="12" spans="1:22" x14ac:dyDescent="0.25">
      <c r="A12">
        <v>7</v>
      </c>
      <c r="B12" t="s">
        <v>147</v>
      </c>
      <c r="E12">
        <v>100</v>
      </c>
      <c r="F12" s="7" t="s">
        <v>183</v>
      </c>
      <c r="N12" t="s">
        <v>46</v>
      </c>
      <c r="R12">
        <f>R18*100</f>
        <v>11100</v>
      </c>
      <c r="S12">
        <f>R12/100</f>
        <v>111</v>
      </c>
      <c r="T12" t="s">
        <v>171</v>
      </c>
    </row>
    <row r="13" spans="1:22" x14ac:dyDescent="0.25">
      <c r="A13">
        <v>8</v>
      </c>
      <c r="B13" t="s">
        <v>101</v>
      </c>
      <c r="E13" t="s">
        <v>154</v>
      </c>
    </row>
    <row r="14" spans="1:22" x14ac:dyDescent="0.25">
      <c r="N14" t="s">
        <v>109</v>
      </c>
      <c r="R14" t="s">
        <v>150</v>
      </c>
    </row>
    <row r="15" spans="1:22" x14ac:dyDescent="0.25">
      <c r="O15" t="s">
        <v>110</v>
      </c>
    </row>
    <row r="16" spans="1:22" x14ac:dyDescent="0.25">
      <c r="N16" t="s">
        <v>146</v>
      </c>
    </row>
    <row r="17" spans="1:20" x14ac:dyDescent="0.25">
      <c r="A17" t="s">
        <v>114</v>
      </c>
      <c r="B17" t="s">
        <v>155</v>
      </c>
      <c r="C17" t="s">
        <v>306</v>
      </c>
      <c r="D17" t="s">
        <v>304</v>
      </c>
      <c r="E17" t="s">
        <v>157</v>
      </c>
      <c r="F17" t="s">
        <v>115</v>
      </c>
      <c r="G17" s="6" t="s">
        <v>173</v>
      </c>
      <c r="H17" t="s">
        <v>172</v>
      </c>
      <c r="I17" t="s">
        <v>178</v>
      </c>
      <c r="J17" t="s">
        <v>177</v>
      </c>
      <c r="K17" t="s">
        <v>176</v>
      </c>
      <c r="O17" t="s">
        <v>112</v>
      </c>
      <c r="R17" t="s">
        <v>342</v>
      </c>
    </row>
    <row r="18" spans="1:20" x14ac:dyDescent="0.25">
      <c r="A18">
        <v>1</v>
      </c>
      <c r="B18" t="s">
        <v>147</v>
      </c>
      <c r="C18">
        <v>15</v>
      </c>
      <c r="D18">
        <v>55</v>
      </c>
      <c r="E18" t="s">
        <v>159</v>
      </c>
      <c r="F18">
        <f>$S$12*20</f>
        <v>2220</v>
      </c>
      <c r="H18" t="s">
        <v>188</v>
      </c>
      <c r="J18">
        <f>F18*$H$37</f>
        <v>973.33333333333326</v>
      </c>
      <c r="N18" t="s">
        <v>3</v>
      </c>
      <c r="O18">
        <v>113</v>
      </c>
      <c r="R18">
        <f>AVERAGE(O18:O20)</f>
        <v>111</v>
      </c>
      <c r="S18">
        <f>R18/100</f>
        <v>1.1100000000000001</v>
      </c>
      <c r="T18" t="s">
        <v>170</v>
      </c>
    </row>
    <row r="19" spans="1:20" x14ac:dyDescent="0.25">
      <c r="A19">
        <v>2</v>
      </c>
      <c r="B19" t="s">
        <v>147</v>
      </c>
      <c r="C19">
        <v>15</v>
      </c>
      <c r="D19">
        <v>55</v>
      </c>
      <c r="E19" t="s">
        <v>159</v>
      </c>
      <c r="F19">
        <f>$S$12*20</f>
        <v>2220</v>
      </c>
      <c r="H19" t="s">
        <v>188</v>
      </c>
      <c r="J19">
        <f t="shared" ref="J19:J32" si="0">F19*$H$37</f>
        <v>973.33333333333326</v>
      </c>
      <c r="N19" t="s">
        <v>3</v>
      </c>
      <c r="O19">
        <v>109</v>
      </c>
      <c r="R19">
        <f>STDEV(O18:O20)</f>
        <v>2</v>
      </c>
    </row>
    <row r="20" spans="1:20" x14ac:dyDescent="0.25">
      <c r="A20">
        <v>3</v>
      </c>
      <c r="B20" t="s">
        <v>147</v>
      </c>
      <c r="C20">
        <v>15</v>
      </c>
      <c r="D20">
        <v>55</v>
      </c>
      <c r="E20" t="s">
        <v>159</v>
      </c>
      <c r="F20">
        <f>$S$12*20</f>
        <v>2220</v>
      </c>
      <c r="H20" t="s">
        <v>189</v>
      </c>
      <c r="J20">
        <f t="shared" si="0"/>
        <v>973.33333333333326</v>
      </c>
      <c r="N20" t="s">
        <v>3</v>
      </c>
      <c r="O20">
        <v>111</v>
      </c>
    </row>
    <row r="21" spans="1:20" x14ac:dyDescent="0.25">
      <c r="A21">
        <v>4</v>
      </c>
      <c r="B21" t="s">
        <v>147</v>
      </c>
      <c r="C21">
        <v>15</v>
      </c>
      <c r="D21">
        <v>55</v>
      </c>
      <c r="E21" t="s">
        <v>159</v>
      </c>
      <c r="F21">
        <f t="shared" ref="F21:F23" si="1">$S$12*20</f>
        <v>2220</v>
      </c>
      <c r="H21" t="s">
        <v>190</v>
      </c>
      <c r="J21">
        <f t="shared" si="0"/>
        <v>973.33333333333326</v>
      </c>
    </row>
    <row r="22" spans="1:20" x14ac:dyDescent="0.25">
      <c r="A22">
        <v>5</v>
      </c>
      <c r="B22" t="s">
        <v>147</v>
      </c>
      <c r="C22">
        <v>15</v>
      </c>
      <c r="D22">
        <v>55</v>
      </c>
      <c r="E22" t="s">
        <v>159</v>
      </c>
      <c r="F22">
        <f t="shared" si="1"/>
        <v>2220</v>
      </c>
      <c r="H22">
        <v>116</v>
      </c>
      <c r="I22">
        <f>H22/F22</f>
        <v>5.2252252252252253E-2</v>
      </c>
      <c r="J22">
        <f t="shared" si="0"/>
        <v>973.33333333333326</v>
      </c>
      <c r="K22">
        <f>LOG10(J22/H22)</f>
        <v>0.92380360750183732</v>
      </c>
      <c r="L22" t="s">
        <v>179</v>
      </c>
    </row>
    <row r="23" spans="1:20" x14ac:dyDescent="0.25">
      <c r="A23">
        <v>6</v>
      </c>
      <c r="B23" t="s">
        <v>147</v>
      </c>
      <c r="C23">
        <v>15</v>
      </c>
      <c r="D23">
        <v>55</v>
      </c>
      <c r="E23" t="s">
        <v>159</v>
      </c>
      <c r="F23">
        <f t="shared" si="1"/>
        <v>2220</v>
      </c>
      <c r="H23">
        <v>126</v>
      </c>
      <c r="I23">
        <f t="shared" ref="I23:I28" si="2">H23/F23</f>
        <v>5.675675675675676E-2</v>
      </c>
      <c r="J23">
        <f t="shared" si="0"/>
        <v>973.33333333333326</v>
      </c>
      <c r="K23">
        <f t="shared" ref="K23:K28" si="3">LOG10(J23/H23)</f>
        <v>0.88789105161119297</v>
      </c>
      <c r="L23">
        <f>LOG10(SUM(J22:J28)/SUM(H22:H28))</f>
        <v>0.97046966425560965</v>
      </c>
      <c r="N23" t="s">
        <v>113</v>
      </c>
    </row>
    <row r="24" spans="1:20" x14ac:dyDescent="0.25">
      <c r="A24">
        <v>7</v>
      </c>
      <c r="B24" t="s">
        <v>147</v>
      </c>
      <c r="C24">
        <v>15</v>
      </c>
      <c r="D24">
        <v>55</v>
      </c>
      <c r="E24" t="s">
        <v>159</v>
      </c>
      <c r="F24">
        <f t="shared" ref="F24:F27" si="4">$S$12*20</f>
        <v>2220</v>
      </c>
      <c r="H24">
        <v>173</v>
      </c>
      <c r="I24">
        <f t="shared" si="2"/>
        <v>7.7927927927927923E-2</v>
      </c>
      <c r="J24">
        <f t="shared" si="0"/>
        <v>973.33333333333326</v>
      </c>
      <c r="K24">
        <f t="shared" si="3"/>
        <v>0.75021549359996043</v>
      </c>
    </row>
    <row r="25" spans="1:20" x14ac:dyDescent="0.25">
      <c r="A25">
        <v>8</v>
      </c>
      <c r="B25" t="s">
        <v>147</v>
      </c>
      <c r="C25">
        <v>15</v>
      </c>
      <c r="D25">
        <v>55</v>
      </c>
      <c r="E25" t="s">
        <v>159</v>
      </c>
      <c r="F25">
        <f t="shared" si="4"/>
        <v>2220</v>
      </c>
      <c r="H25">
        <v>176</v>
      </c>
      <c r="I25">
        <f t="shared" si="2"/>
        <v>7.9279279279279274E-2</v>
      </c>
      <c r="J25">
        <f t="shared" si="0"/>
        <v>973.33333333333326</v>
      </c>
      <c r="K25">
        <f t="shared" si="3"/>
        <v>0.74274892891460598</v>
      </c>
    </row>
    <row r="26" spans="1:20" x14ac:dyDescent="0.25">
      <c r="A26">
        <v>9</v>
      </c>
      <c r="B26" t="s">
        <v>147</v>
      </c>
      <c r="C26">
        <v>15</v>
      </c>
      <c r="D26">
        <v>55</v>
      </c>
      <c r="E26" t="s">
        <v>159</v>
      </c>
      <c r="F26">
        <f t="shared" si="4"/>
        <v>2220</v>
      </c>
      <c r="H26">
        <v>187</v>
      </c>
      <c r="I26">
        <f t="shared" si="2"/>
        <v>8.4234234234234234E-2</v>
      </c>
      <c r="J26">
        <f t="shared" si="0"/>
        <v>973.33333333333326</v>
      </c>
      <c r="K26">
        <f t="shared" si="3"/>
        <v>0.71641999019225677</v>
      </c>
    </row>
    <row r="27" spans="1:20" x14ac:dyDescent="0.25">
      <c r="A27">
        <v>10</v>
      </c>
      <c r="B27" t="s">
        <v>147</v>
      </c>
      <c r="C27">
        <v>15</v>
      </c>
      <c r="D27">
        <v>55</v>
      </c>
      <c r="E27" t="s">
        <v>159</v>
      </c>
      <c r="F27">
        <f t="shared" si="4"/>
        <v>2220</v>
      </c>
      <c r="H27">
        <v>146</v>
      </c>
      <c r="I27">
        <f t="shared" si="2"/>
        <v>6.576576576576576E-2</v>
      </c>
      <c r="J27">
        <f t="shared" si="0"/>
        <v>973.33333333333326</v>
      </c>
      <c r="K27">
        <f t="shared" si="3"/>
        <v>0.82390874094431876</v>
      </c>
    </row>
    <row r="28" spans="1:20" x14ac:dyDescent="0.25">
      <c r="A28">
        <v>11</v>
      </c>
      <c r="B28" t="s">
        <v>147</v>
      </c>
      <c r="C28">
        <v>15</v>
      </c>
      <c r="D28">
        <v>55</v>
      </c>
      <c r="E28" t="s">
        <v>184</v>
      </c>
      <c r="F28">
        <f>$S$12*100</f>
        <v>11100</v>
      </c>
      <c r="H28">
        <v>222</v>
      </c>
      <c r="I28">
        <f t="shared" si="2"/>
        <v>0.02</v>
      </c>
      <c r="J28">
        <f t="shared" si="0"/>
        <v>4866.6666666666661</v>
      </c>
      <c r="K28">
        <f t="shared" si="3"/>
        <v>1.3408786266141359</v>
      </c>
    </row>
    <row r="29" spans="1:20" x14ac:dyDescent="0.25">
      <c r="A29">
        <v>12</v>
      </c>
      <c r="B29" t="s">
        <v>147</v>
      </c>
      <c r="C29">
        <v>15</v>
      </c>
      <c r="D29">
        <v>55</v>
      </c>
      <c r="E29" t="s">
        <v>184</v>
      </c>
      <c r="F29">
        <f t="shared" ref="F29" si="5">$S$12*100</f>
        <v>11100</v>
      </c>
      <c r="H29" t="s">
        <v>191</v>
      </c>
      <c r="J29">
        <f t="shared" si="0"/>
        <v>4866.6666666666661</v>
      </c>
    </row>
    <row r="30" spans="1:20" x14ac:dyDescent="0.25">
      <c r="A30">
        <v>13</v>
      </c>
      <c r="B30" t="s">
        <v>147</v>
      </c>
      <c r="C30">
        <v>15</v>
      </c>
      <c r="D30">
        <v>55</v>
      </c>
      <c r="E30" t="s">
        <v>185</v>
      </c>
      <c r="F30">
        <f>$S$12*100+S12</f>
        <v>11211</v>
      </c>
      <c r="H30" t="s">
        <v>191</v>
      </c>
      <c r="J30">
        <f t="shared" si="0"/>
        <v>4915.333333333333</v>
      </c>
    </row>
    <row r="31" spans="1:20" x14ac:dyDescent="0.25">
      <c r="A31">
        <v>14</v>
      </c>
      <c r="B31" t="s">
        <v>147</v>
      </c>
      <c r="C31">
        <v>15</v>
      </c>
      <c r="D31">
        <v>55</v>
      </c>
      <c r="E31" t="s">
        <v>185</v>
      </c>
      <c r="F31">
        <f>$S$12*100+S12</f>
        <v>11211</v>
      </c>
      <c r="H31">
        <v>245</v>
      </c>
      <c r="I31">
        <f t="shared" ref="I31:I32" si="6">H31/F31</f>
        <v>2.1853536705021853E-2</v>
      </c>
      <c r="J31">
        <f t="shared" si="0"/>
        <v>4915.333333333333</v>
      </c>
      <c r="K31">
        <f>LOG10(J31/H31)</f>
        <v>1.3023868904828848</v>
      </c>
      <c r="M31">
        <f>H31-(AVERAGE(H33:H35))</f>
        <v>196.33333333333334</v>
      </c>
      <c r="O31">
        <f>LOG10(J31/M31)</f>
        <v>1.3985589347799781</v>
      </c>
    </row>
    <row r="32" spans="1:20" x14ac:dyDescent="0.25">
      <c r="A32">
        <v>15</v>
      </c>
      <c r="B32" t="s">
        <v>147</v>
      </c>
      <c r="C32">
        <v>15</v>
      </c>
      <c r="D32">
        <v>55</v>
      </c>
      <c r="E32" t="s">
        <v>185</v>
      </c>
      <c r="F32">
        <f>$S$12*100+S12</f>
        <v>11211</v>
      </c>
      <c r="H32">
        <v>265</v>
      </c>
      <c r="I32">
        <f t="shared" si="6"/>
        <v>2.3637498885023638E-2</v>
      </c>
      <c r="J32">
        <f t="shared" si="0"/>
        <v>4915.333333333333</v>
      </c>
      <c r="K32">
        <f t="shared" ref="K32" si="7">LOG10(J32/H32)</f>
        <v>1.2683071009106093</v>
      </c>
      <c r="M32">
        <f>H32-(AVERAGE(H34:H36))</f>
        <v>217.5</v>
      </c>
      <c r="O32">
        <f>LOG10(J32/M32)</f>
        <v>1.354093713556761</v>
      </c>
    </row>
    <row r="33" spans="1:9" x14ac:dyDescent="0.25">
      <c r="A33">
        <v>16</v>
      </c>
      <c r="B33" t="s">
        <v>101</v>
      </c>
      <c r="E33" t="s">
        <v>186</v>
      </c>
      <c r="F33">
        <f>$S$18*100</f>
        <v>111.00000000000001</v>
      </c>
      <c r="H33">
        <v>51</v>
      </c>
      <c r="I33">
        <f>H33/F33</f>
        <v>0.45945945945945937</v>
      </c>
    </row>
    <row r="34" spans="1:9" x14ac:dyDescent="0.25">
      <c r="A34">
        <v>17</v>
      </c>
      <c r="B34" t="s">
        <v>101</v>
      </c>
      <c r="E34" t="s">
        <v>186</v>
      </c>
      <c r="F34">
        <f t="shared" ref="F34:F35" si="8">$S$18*100</f>
        <v>111.00000000000001</v>
      </c>
      <c r="H34">
        <v>49</v>
      </c>
      <c r="I34">
        <f t="shared" ref="I34:I35" si="9">H34/F34</f>
        <v>0.44144144144144137</v>
      </c>
    </row>
    <row r="35" spans="1:9" x14ac:dyDescent="0.25">
      <c r="A35">
        <v>18</v>
      </c>
      <c r="B35" t="s">
        <v>101</v>
      </c>
      <c r="E35" t="s">
        <v>186</v>
      </c>
      <c r="F35">
        <f t="shared" si="8"/>
        <v>111.00000000000001</v>
      </c>
      <c r="H35">
        <v>46</v>
      </c>
      <c r="I35">
        <f t="shared" si="9"/>
        <v>0.41441441441441434</v>
      </c>
    </row>
    <row r="37" spans="1:9" x14ac:dyDescent="0.25">
      <c r="F37" t="s">
        <v>175</v>
      </c>
      <c r="H37">
        <f>AVERAGE(I33:I35)</f>
        <v>0.43843843843843838</v>
      </c>
    </row>
    <row r="38" spans="1:9" x14ac:dyDescent="0.25">
      <c r="F38" t="s">
        <v>167</v>
      </c>
      <c r="H38">
        <f>STDEV(I33:I35)</f>
        <v>2.2672175481293536E-2</v>
      </c>
    </row>
  </sheetData>
  <pageMargins left="0.70866141732283472" right="0.70866141732283472" top="0.74803149606299213" bottom="0.74803149606299213" header="0.31496062992125984" footer="0.31496062992125984"/>
  <pageSetup paperSize="9" scale="60" orientation="landscape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38"/>
  <sheetViews>
    <sheetView workbookViewId="0"/>
  </sheetViews>
  <sheetFormatPr defaultRowHeight="15" x14ac:dyDescent="0.25"/>
  <cols>
    <col min="4" max="4" width="21.7109375" customWidth="1"/>
    <col min="5" max="5" width="13.5703125" customWidth="1"/>
    <col min="6" max="6" width="8.140625" style="6" customWidth="1"/>
    <col min="7" max="7" width="7.42578125" customWidth="1"/>
    <col min="8" max="8" width="10.85546875" customWidth="1"/>
    <col min="9" max="9" width="13.85546875" customWidth="1"/>
    <col min="10" max="10" width="24" customWidth="1"/>
  </cols>
  <sheetData>
    <row r="1" spans="1:21" x14ac:dyDescent="0.25">
      <c r="A1" t="s">
        <v>0</v>
      </c>
      <c r="J1" s="1">
        <v>41808</v>
      </c>
    </row>
    <row r="2" spans="1:21" x14ac:dyDescent="0.25">
      <c r="A2" s="31" t="s">
        <v>335</v>
      </c>
      <c r="E2">
        <v>65</v>
      </c>
    </row>
    <row r="3" spans="1:21" x14ac:dyDescent="0.25">
      <c r="A3" t="s">
        <v>1</v>
      </c>
      <c r="E3">
        <v>15</v>
      </c>
    </row>
    <row r="4" spans="1:21" x14ac:dyDescent="0.25">
      <c r="K4" t="s">
        <v>37</v>
      </c>
      <c r="O4" s="3"/>
      <c r="P4" s="3"/>
      <c r="Q4" s="3"/>
      <c r="R4" s="3"/>
      <c r="S4" s="3"/>
      <c r="T4" s="3"/>
      <c r="U4" s="3"/>
    </row>
    <row r="5" spans="1:21" x14ac:dyDescent="0.25">
      <c r="A5" t="s">
        <v>3</v>
      </c>
      <c r="B5" t="s">
        <v>28</v>
      </c>
      <c r="D5" t="s">
        <v>152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x14ac:dyDescent="0.25">
      <c r="A6">
        <v>1</v>
      </c>
      <c r="B6" t="s">
        <v>148</v>
      </c>
      <c r="D6" t="s">
        <v>181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x14ac:dyDescent="0.25">
      <c r="A7">
        <v>2</v>
      </c>
      <c r="B7" t="s">
        <v>148</v>
      </c>
      <c r="D7" t="s">
        <v>181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x14ac:dyDescent="0.25">
      <c r="A8">
        <v>3</v>
      </c>
      <c r="B8" t="s">
        <v>148</v>
      </c>
      <c r="D8" t="s">
        <v>182</v>
      </c>
    </row>
    <row r="9" spans="1:21" x14ac:dyDescent="0.25">
      <c r="A9">
        <v>4</v>
      </c>
      <c r="B9" t="s">
        <v>148</v>
      </c>
      <c r="D9">
        <v>100</v>
      </c>
      <c r="N9" t="s">
        <v>104</v>
      </c>
      <c r="Q9" t="s">
        <v>180</v>
      </c>
    </row>
    <row r="10" spans="1:21" x14ac:dyDescent="0.25">
      <c r="A10">
        <v>5</v>
      </c>
      <c r="B10" t="s">
        <v>148</v>
      </c>
      <c r="D10">
        <v>100</v>
      </c>
      <c r="K10" t="s">
        <v>102</v>
      </c>
      <c r="N10" t="s">
        <v>105</v>
      </c>
    </row>
    <row r="11" spans="1:21" x14ac:dyDescent="0.25">
      <c r="A11">
        <v>6</v>
      </c>
      <c r="B11" t="s">
        <v>148</v>
      </c>
      <c r="D11">
        <v>100</v>
      </c>
      <c r="E11" s="7" t="s">
        <v>183</v>
      </c>
      <c r="G11" t="s">
        <v>213</v>
      </c>
      <c r="M11" t="s">
        <v>145</v>
      </c>
    </row>
    <row r="12" spans="1:21" x14ac:dyDescent="0.25">
      <c r="A12">
        <v>7</v>
      </c>
      <c r="B12" t="s">
        <v>148</v>
      </c>
      <c r="D12">
        <v>100</v>
      </c>
      <c r="E12" s="7" t="s">
        <v>183</v>
      </c>
      <c r="G12" t="s">
        <v>213</v>
      </c>
      <c r="M12" t="s">
        <v>46</v>
      </c>
      <c r="Q12">
        <f>Q18*100</f>
        <v>3000</v>
      </c>
      <c r="R12">
        <f>Q12/100</f>
        <v>30</v>
      </c>
      <c r="S12" t="s">
        <v>171</v>
      </c>
    </row>
    <row r="13" spans="1:21" x14ac:dyDescent="0.25">
      <c r="A13">
        <v>8</v>
      </c>
      <c r="B13" t="s">
        <v>101</v>
      </c>
      <c r="D13" t="s">
        <v>154</v>
      </c>
    </row>
    <row r="14" spans="1:21" x14ac:dyDescent="0.25">
      <c r="M14" t="s">
        <v>109</v>
      </c>
      <c r="Q14" t="s">
        <v>150</v>
      </c>
    </row>
    <row r="15" spans="1:21" x14ac:dyDescent="0.25">
      <c r="N15" t="s">
        <v>110</v>
      </c>
    </row>
    <row r="16" spans="1:21" x14ac:dyDescent="0.25">
      <c r="M16" t="s">
        <v>146</v>
      </c>
    </row>
    <row r="17" spans="1:19" x14ac:dyDescent="0.25">
      <c r="A17" t="s">
        <v>114</v>
      </c>
      <c r="B17" t="s">
        <v>155</v>
      </c>
      <c r="D17" t="s">
        <v>157</v>
      </c>
      <c r="E17" t="s">
        <v>115</v>
      </c>
      <c r="F17" s="6" t="s">
        <v>173</v>
      </c>
      <c r="G17" t="s">
        <v>172</v>
      </c>
      <c r="H17" t="s">
        <v>178</v>
      </c>
      <c r="I17" t="s">
        <v>177</v>
      </c>
      <c r="J17" t="s">
        <v>176</v>
      </c>
      <c r="N17" t="s">
        <v>112</v>
      </c>
    </row>
    <row r="18" spans="1:19" x14ac:dyDescent="0.25">
      <c r="A18">
        <v>1</v>
      </c>
      <c r="B18" t="s">
        <v>148</v>
      </c>
      <c r="D18" t="s">
        <v>159</v>
      </c>
      <c r="E18">
        <f>$R$12*20</f>
        <v>600</v>
      </c>
      <c r="G18">
        <v>0</v>
      </c>
      <c r="H18">
        <f t="shared" ref="H18:H21" si="0">G18/E18</f>
        <v>0</v>
      </c>
      <c r="I18">
        <f>E18*$G$37</f>
        <v>183.33333333333331</v>
      </c>
      <c r="J18">
        <f>LOG10(I18)</f>
        <v>2.2632414347745815</v>
      </c>
      <c r="M18" t="s">
        <v>3</v>
      </c>
      <c r="N18">
        <v>31</v>
      </c>
      <c r="Q18">
        <f>AVERAGE(N18:N20)</f>
        <v>30</v>
      </c>
      <c r="R18">
        <f>Q18/100</f>
        <v>0.3</v>
      </c>
      <c r="S18" t="s">
        <v>170</v>
      </c>
    </row>
    <row r="19" spans="1:19" x14ac:dyDescent="0.25">
      <c r="A19">
        <v>2</v>
      </c>
      <c r="B19" t="s">
        <v>148</v>
      </c>
      <c r="D19" t="s">
        <v>159</v>
      </c>
      <c r="E19">
        <f>$R$12*20</f>
        <v>600</v>
      </c>
      <c r="G19">
        <v>0</v>
      </c>
      <c r="H19">
        <f t="shared" si="0"/>
        <v>0</v>
      </c>
      <c r="I19">
        <f t="shared" ref="I19:I32" si="1">E19*$G$37</f>
        <v>183.33333333333331</v>
      </c>
      <c r="J19">
        <f t="shared" ref="J19:J32" si="2">LOG10(I19)</f>
        <v>2.2632414347745815</v>
      </c>
      <c r="M19" t="s">
        <v>3</v>
      </c>
      <c r="N19">
        <v>30</v>
      </c>
      <c r="Q19">
        <f>STDEV(N18:N20)</f>
        <v>1</v>
      </c>
    </row>
    <row r="20" spans="1:19" x14ac:dyDescent="0.25">
      <c r="A20">
        <v>3</v>
      </c>
      <c r="B20" t="s">
        <v>148</v>
      </c>
      <c r="D20" t="s">
        <v>159</v>
      </c>
      <c r="E20">
        <f>$R$12*20</f>
        <v>600</v>
      </c>
      <c r="G20">
        <v>0</v>
      </c>
      <c r="H20">
        <f t="shared" si="0"/>
        <v>0</v>
      </c>
      <c r="I20">
        <f t="shared" si="1"/>
        <v>183.33333333333331</v>
      </c>
      <c r="J20">
        <f t="shared" si="2"/>
        <v>2.2632414347745815</v>
      </c>
      <c r="M20" t="s">
        <v>3</v>
      </c>
      <c r="N20">
        <v>29</v>
      </c>
    </row>
    <row r="21" spans="1:19" x14ac:dyDescent="0.25">
      <c r="A21">
        <v>4</v>
      </c>
      <c r="B21" t="s">
        <v>148</v>
      </c>
      <c r="D21" t="s">
        <v>159</v>
      </c>
      <c r="E21">
        <f t="shared" ref="E21:E27" si="3">$R$12*20</f>
        <v>600</v>
      </c>
      <c r="G21">
        <v>0</v>
      </c>
      <c r="H21">
        <f t="shared" si="0"/>
        <v>0</v>
      </c>
      <c r="I21">
        <f t="shared" si="1"/>
        <v>183.33333333333331</v>
      </c>
      <c r="J21">
        <f t="shared" si="2"/>
        <v>2.2632414347745815</v>
      </c>
    </row>
    <row r="22" spans="1:19" x14ac:dyDescent="0.25">
      <c r="A22">
        <v>5</v>
      </c>
      <c r="B22" t="s">
        <v>148</v>
      </c>
      <c r="D22" t="s">
        <v>159</v>
      </c>
      <c r="E22">
        <f t="shared" si="3"/>
        <v>600</v>
      </c>
      <c r="G22">
        <v>0</v>
      </c>
      <c r="H22">
        <f>G22/E22</f>
        <v>0</v>
      </c>
      <c r="I22">
        <f t="shared" si="1"/>
        <v>183.33333333333331</v>
      </c>
      <c r="J22">
        <f t="shared" si="2"/>
        <v>2.2632414347745815</v>
      </c>
      <c r="K22" t="s">
        <v>214</v>
      </c>
    </row>
    <row r="23" spans="1:19" x14ac:dyDescent="0.25">
      <c r="A23">
        <v>6</v>
      </c>
      <c r="B23" t="s">
        <v>148</v>
      </c>
      <c r="D23" t="s">
        <v>159</v>
      </c>
      <c r="E23">
        <f t="shared" si="3"/>
        <v>600</v>
      </c>
      <c r="G23">
        <v>0</v>
      </c>
      <c r="H23">
        <f t="shared" ref="H23:H30" si="4">G23/E23</f>
        <v>0</v>
      </c>
      <c r="I23">
        <f t="shared" si="1"/>
        <v>183.33333333333331</v>
      </c>
      <c r="J23">
        <f t="shared" si="2"/>
        <v>2.2632414347745815</v>
      </c>
      <c r="K23">
        <f>LOG10(SUM(I18:I32))</f>
        <v>3.8073094791248572</v>
      </c>
      <c r="M23" t="s">
        <v>113</v>
      </c>
    </row>
    <row r="24" spans="1:19" x14ac:dyDescent="0.25">
      <c r="A24">
        <v>7</v>
      </c>
      <c r="B24" t="s">
        <v>148</v>
      </c>
      <c r="D24" t="s">
        <v>159</v>
      </c>
      <c r="E24">
        <f t="shared" si="3"/>
        <v>600</v>
      </c>
      <c r="G24">
        <v>0</v>
      </c>
      <c r="H24">
        <f t="shared" si="4"/>
        <v>0</v>
      </c>
      <c r="I24">
        <f t="shared" si="1"/>
        <v>183.33333333333331</v>
      </c>
      <c r="J24">
        <f t="shared" si="2"/>
        <v>2.2632414347745815</v>
      </c>
    </row>
    <row r="25" spans="1:19" x14ac:dyDescent="0.25">
      <c r="A25">
        <v>8</v>
      </c>
      <c r="B25" t="s">
        <v>148</v>
      </c>
      <c r="D25" t="s">
        <v>159</v>
      </c>
      <c r="E25">
        <f t="shared" si="3"/>
        <v>600</v>
      </c>
      <c r="G25">
        <v>0</v>
      </c>
      <c r="H25">
        <f t="shared" si="4"/>
        <v>0</v>
      </c>
      <c r="I25">
        <f t="shared" si="1"/>
        <v>183.33333333333331</v>
      </c>
      <c r="J25">
        <f t="shared" si="2"/>
        <v>2.2632414347745815</v>
      </c>
    </row>
    <row r="26" spans="1:19" x14ac:dyDescent="0.25">
      <c r="A26">
        <v>9</v>
      </c>
      <c r="B26" t="s">
        <v>148</v>
      </c>
      <c r="D26" t="s">
        <v>159</v>
      </c>
      <c r="E26">
        <f t="shared" si="3"/>
        <v>600</v>
      </c>
      <c r="G26">
        <v>0</v>
      </c>
      <c r="H26">
        <f t="shared" si="4"/>
        <v>0</v>
      </c>
      <c r="I26">
        <f t="shared" si="1"/>
        <v>183.33333333333331</v>
      </c>
      <c r="J26">
        <f t="shared" si="2"/>
        <v>2.2632414347745815</v>
      </c>
    </row>
    <row r="27" spans="1:19" x14ac:dyDescent="0.25">
      <c r="A27">
        <v>10</v>
      </c>
      <c r="B27" t="s">
        <v>148</v>
      </c>
      <c r="D27" t="s">
        <v>159</v>
      </c>
      <c r="E27">
        <f t="shared" si="3"/>
        <v>600</v>
      </c>
      <c r="G27">
        <v>0</v>
      </c>
      <c r="H27">
        <f t="shared" si="4"/>
        <v>0</v>
      </c>
      <c r="I27">
        <f t="shared" si="1"/>
        <v>183.33333333333331</v>
      </c>
      <c r="J27">
        <f t="shared" si="2"/>
        <v>2.2632414347745815</v>
      </c>
    </row>
    <row r="28" spans="1:19" x14ac:dyDescent="0.25">
      <c r="A28">
        <v>11</v>
      </c>
      <c r="B28" t="s">
        <v>148</v>
      </c>
      <c r="D28" t="s">
        <v>184</v>
      </c>
      <c r="E28">
        <f>$R$12*100</f>
        <v>3000</v>
      </c>
      <c r="G28">
        <v>0</v>
      </c>
      <c r="H28">
        <f t="shared" si="4"/>
        <v>0</v>
      </c>
      <c r="I28">
        <f t="shared" si="1"/>
        <v>916.66666666666663</v>
      </c>
      <c r="J28">
        <f t="shared" si="2"/>
        <v>2.9622114391106003</v>
      </c>
    </row>
    <row r="29" spans="1:19" x14ac:dyDescent="0.25">
      <c r="A29">
        <v>12</v>
      </c>
      <c r="B29" t="s">
        <v>148</v>
      </c>
      <c r="D29" t="s">
        <v>184</v>
      </c>
      <c r="E29">
        <f t="shared" ref="E29:E33" si="5">$R$12*100</f>
        <v>3000</v>
      </c>
      <c r="G29">
        <v>0</v>
      </c>
      <c r="H29">
        <f t="shared" si="4"/>
        <v>0</v>
      </c>
      <c r="I29">
        <f t="shared" si="1"/>
        <v>916.66666666666663</v>
      </c>
      <c r="J29">
        <f t="shared" si="2"/>
        <v>2.9622114391106003</v>
      </c>
    </row>
    <row r="30" spans="1:19" x14ac:dyDescent="0.25">
      <c r="A30" s="3">
        <v>13</v>
      </c>
      <c r="B30" t="s">
        <v>148</v>
      </c>
      <c r="D30" t="s">
        <v>184</v>
      </c>
      <c r="E30">
        <f t="shared" si="5"/>
        <v>3000</v>
      </c>
      <c r="F30" s="8"/>
      <c r="G30" s="3">
        <v>0</v>
      </c>
      <c r="H30" s="3">
        <f t="shared" si="4"/>
        <v>0</v>
      </c>
      <c r="I30" s="3">
        <f t="shared" si="1"/>
        <v>916.66666666666663</v>
      </c>
      <c r="J30" s="3">
        <f t="shared" si="2"/>
        <v>2.9622114391106003</v>
      </c>
    </row>
    <row r="31" spans="1:19" x14ac:dyDescent="0.25">
      <c r="A31" s="3">
        <v>14</v>
      </c>
      <c r="B31" t="s">
        <v>148</v>
      </c>
      <c r="D31" t="s">
        <v>184</v>
      </c>
      <c r="E31">
        <f t="shared" si="5"/>
        <v>3000</v>
      </c>
      <c r="F31" s="8"/>
      <c r="G31" s="3">
        <v>0</v>
      </c>
      <c r="H31" s="3">
        <f t="shared" ref="H31:H32" si="6">G31/E31</f>
        <v>0</v>
      </c>
      <c r="I31" s="3">
        <f t="shared" si="1"/>
        <v>916.66666666666663</v>
      </c>
      <c r="J31" s="3">
        <f t="shared" si="2"/>
        <v>2.9622114391106003</v>
      </c>
    </row>
    <row r="32" spans="1:19" x14ac:dyDescent="0.25">
      <c r="A32" s="3">
        <v>15</v>
      </c>
      <c r="B32" t="s">
        <v>148</v>
      </c>
      <c r="D32" t="s">
        <v>184</v>
      </c>
      <c r="E32">
        <f t="shared" si="5"/>
        <v>3000</v>
      </c>
      <c r="F32" s="8"/>
      <c r="G32" s="3">
        <v>0</v>
      </c>
      <c r="H32" s="3">
        <f t="shared" si="6"/>
        <v>0</v>
      </c>
      <c r="I32" s="3">
        <f t="shared" si="1"/>
        <v>916.66666666666663</v>
      </c>
      <c r="J32" s="3">
        <f t="shared" si="2"/>
        <v>2.9622114391106003</v>
      </c>
    </row>
    <row r="33" spans="1:8" x14ac:dyDescent="0.25">
      <c r="A33">
        <v>16</v>
      </c>
      <c r="B33" t="s">
        <v>148</v>
      </c>
      <c r="D33" t="s">
        <v>184</v>
      </c>
      <c r="E33">
        <f t="shared" si="5"/>
        <v>3000</v>
      </c>
      <c r="G33" s="3">
        <v>0</v>
      </c>
      <c r="H33">
        <f>G33/E33</f>
        <v>0</v>
      </c>
    </row>
    <row r="34" spans="1:8" x14ac:dyDescent="0.25">
      <c r="A34">
        <v>17</v>
      </c>
      <c r="B34" t="s">
        <v>101</v>
      </c>
      <c r="D34" t="s">
        <v>158</v>
      </c>
      <c r="E34">
        <f>$R$18*200</f>
        <v>60</v>
      </c>
      <c r="G34">
        <v>17</v>
      </c>
      <c r="H34">
        <f>G34/E34</f>
        <v>0.28333333333333333</v>
      </c>
    </row>
    <row r="35" spans="1:8" x14ac:dyDescent="0.25">
      <c r="A35">
        <v>18</v>
      </c>
      <c r="B35" t="s">
        <v>101</v>
      </c>
      <c r="D35" t="s">
        <v>158</v>
      </c>
      <c r="E35">
        <f t="shared" ref="E35:E36" si="7">$R$18*200</f>
        <v>60</v>
      </c>
      <c r="G35">
        <v>19</v>
      </c>
      <c r="H35">
        <f t="shared" ref="H35:H36" si="8">G35/E35</f>
        <v>0.31666666666666665</v>
      </c>
    </row>
    <row r="36" spans="1:8" x14ac:dyDescent="0.25">
      <c r="A36">
        <v>19</v>
      </c>
      <c r="B36" t="s">
        <v>101</v>
      </c>
      <c r="D36" t="s">
        <v>158</v>
      </c>
      <c r="E36">
        <f t="shared" si="7"/>
        <v>60</v>
      </c>
      <c r="G36">
        <v>19</v>
      </c>
      <c r="H36">
        <f t="shared" si="8"/>
        <v>0.31666666666666665</v>
      </c>
    </row>
    <row r="37" spans="1:8" x14ac:dyDescent="0.25">
      <c r="E37" t="s">
        <v>175</v>
      </c>
      <c r="G37">
        <f>AVERAGE(H34:H36)</f>
        <v>0.30555555555555552</v>
      </c>
    </row>
    <row r="38" spans="1:8" x14ac:dyDescent="0.25">
      <c r="E38" t="s">
        <v>167</v>
      </c>
      <c r="G38">
        <f>STDEV(H33:H35)</f>
        <v>0.17400510848184247</v>
      </c>
    </row>
  </sheetData>
  <pageMargins left="0.70866141732283472" right="0.70866141732283472" top="0.74803149606299213" bottom="0.74803149606299213" header="0.31496062992125984" footer="0.31496062992125984"/>
  <pageSetup paperSize="9" scale="60" orientation="landscape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workbookViewId="0"/>
  </sheetViews>
  <sheetFormatPr defaultRowHeight="15" x14ac:dyDescent="0.25"/>
  <cols>
    <col min="4" max="4" width="21.7109375" customWidth="1"/>
    <col min="5" max="5" width="13.5703125" customWidth="1"/>
    <col min="6" max="6" width="8.140625" style="6" customWidth="1"/>
    <col min="7" max="7" width="7.42578125" customWidth="1"/>
    <col min="8" max="8" width="10.85546875" customWidth="1"/>
    <col min="9" max="9" width="13.85546875" customWidth="1"/>
    <col min="10" max="10" width="24" customWidth="1"/>
  </cols>
  <sheetData>
    <row r="1" spans="1:21" x14ac:dyDescent="0.25">
      <c r="A1" t="s">
        <v>288</v>
      </c>
      <c r="J1" s="1">
        <v>41856</v>
      </c>
    </row>
    <row r="2" spans="1:21" x14ac:dyDescent="0.25">
      <c r="A2" s="31" t="s">
        <v>335</v>
      </c>
      <c r="E2" t="s">
        <v>289</v>
      </c>
    </row>
    <row r="3" spans="1:21" x14ac:dyDescent="0.25">
      <c r="A3" t="s">
        <v>1</v>
      </c>
      <c r="E3" t="s">
        <v>289</v>
      </c>
    </row>
    <row r="4" spans="1:21" x14ac:dyDescent="0.25">
      <c r="O4" s="3"/>
      <c r="P4" s="3"/>
      <c r="Q4" s="3"/>
      <c r="R4" s="3"/>
      <c r="S4" s="3"/>
      <c r="T4" s="3"/>
      <c r="U4" s="3"/>
    </row>
    <row r="5" spans="1:21" x14ac:dyDescent="0.25"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x14ac:dyDescent="0.25">
      <c r="A6" t="s">
        <v>290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x14ac:dyDescent="0.25"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11" spans="1:21" x14ac:dyDescent="0.25">
      <c r="E11" s="7"/>
    </row>
    <row r="12" spans="1:21" x14ac:dyDescent="0.25">
      <c r="E12" s="7"/>
    </row>
    <row r="17" spans="1:10" x14ac:dyDescent="0.25">
      <c r="F17"/>
    </row>
    <row r="30" spans="1:10" x14ac:dyDescent="0.25">
      <c r="A30" s="3"/>
      <c r="F30" s="8"/>
      <c r="G30" s="3"/>
      <c r="H30" s="3"/>
      <c r="I30" s="3"/>
      <c r="J30" s="3"/>
    </row>
    <row r="31" spans="1:10" x14ac:dyDescent="0.25">
      <c r="A31" s="3"/>
      <c r="F31" s="8"/>
      <c r="G31" s="3"/>
      <c r="H31" s="3"/>
      <c r="I31" s="3"/>
      <c r="J31" s="3"/>
    </row>
    <row r="32" spans="1:10" x14ac:dyDescent="0.25">
      <c r="A32" s="3"/>
      <c r="F32" s="8"/>
      <c r="G32" s="3"/>
      <c r="H32" s="3"/>
      <c r="I32" s="3"/>
      <c r="J32" s="3"/>
    </row>
    <row r="33" spans="7:7" x14ac:dyDescent="0.25">
      <c r="G33" s="3"/>
    </row>
  </sheetData>
  <pageMargins left="0.70866141732283472" right="0.70866141732283472" top="0.74803149606299213" bottom="0.74803149606299213" header="0.31496062992125984" footer="0.31496062992125984"/>
  <pageSetup paperSize="9" scale="59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workbookViewId="0"/>
  </sheetViews>
  <sheetFormatPr defaultRowHeight="15" x14ac:dyDescent="0.25"/>
  <cols>
    <col min="3" max="3" width="13.7109375" customWidth="1"/>
    <col min="4" max="4" width="14.85546875" customWidth="1"/>
    <col min="5" max="5" width="10" customWidth="1"/>
    <col min="7" max="7" width="10.42578125" customWidth="1"/>
  </cols>
  <sheetData>
    <row r="1" spans="1:15" x14ac:dyDescent="0.25">
      <c r="A1" t="s">
        <v>0</v>
      </c>
      <c r="G1" s="1">
        <v>41781</v>
      </c>
    </row>
    <row r="2" spans="1:15" x14ac:dyDescent="0.25">
      <c r="A2" s="31" t="s">
        <v>335</v>
      </c>
      <c r="D2">
        <v>65</v>
      </c>
      <c r="H2" t="s">
        <v>118</v>
      </c>
    </row>
    <row r="3" spans="1:15" x14ac:dyDescent="0.25">
      <c r="A3" t="s">
        <v>1</v>
      </c>
      <c r="D3" t="s">
        <v>121</v>
      </c>
    </row>
    <row r="4" spans="1:15" x14ac:dyDescent="0.25">
      <c r="H4" t="s">
        <v>37</v>
      </c>
      <c r="L4" t="s">
        <v>38</v>
      </c>
      <c r="O4" t="s">
        <v>39</v>
      </c>
    </row>
    <row r="5" spans="1:15" x14ac:dyDescent="0.25">
      <c r="O5" t="s">
        <v>40</v>
      </c>
    </row>
    <row r="6" spans="1:15" x14ac:dyDescent="0.25">
      <c r="A6" t="s">
        <v>27</v>
      </c>
      <c r="B6" t="s">
        <v>3</v>
      </c>
      <c r="C6" t="s">
        <v>28</v>
      </c>
      <c r="D6" t="s">
        <v>307</v>
      </c>
      <c r="E6" t="s">
        <v>56</v>
      </c>
      <c r="H6" t="s">
        <v>36</v>
      </c>
      <c r="J6" t="s">
        <v>127</v>
      </c>
    </row>
    <row r="7" spans="1:15" x14ac:dyDescent="0.25">
      <c r="A7">
        <v>1</v>
      </c>
      <c r="B7" t="s">
        <v>116</v>
      </c>
      <c r="C7" t="s">
        <v>122</v>
      </c>
      <c r="D7">
        <v>5</v>
      </c>
      <c r="E7" t="s">
        <v>124</v>
      </c>
      <c r="J7" t="s">
        <v>42</v>
      </c>
    </row>
    <row r="8" spans="1:15" x14ac:dyDescent="0.25">
      <c r="A8">
        <v>2</v>
      </c>
      <c r="B8" t="s">
        <v>117</v>
      </c>
      <c r="C8" t="s">
        <v>122</v>
      </c>
      <c r="D8">
        <v>5</v>
      </c>
      <c r="E8" t="s">
        <v>124</v>
      </c>
      <c r="J8" t="s">
        <v>43</v>
      </c>
    </row>
    <row r="9" spans="1:15" x14ac:dyDescent="0.25">
      <c r="A9">
        <v>3</v>
      </c>
      <c r="B9" t="s">
        <v>116</v>
      </c>
      <c r="C9" t="s">
        <v>119</v>
      </c>
      <c r="D9">
        <v>30</v>
      </c>
      <c r="E9" t="s">
        <v>125</v>
      </c>
    </row>
    <row r="10" spans="1:15" x14ac:dyDescent="0.25">
      <c r="A10">
        <v>4</v>
      </c>
      <c r="B10" t="s">
        <v>117</v>
      </c>
      <c r="C10" t="s">
        <v>119</v>
      </c>
      <c r="D10">
        <v>30</v>
      </c>
      <c r="E10" t="s">
        <v>125</v>
      </c>
    </row>
    <row r="11" spans="1:15" x14ac:dyDescent="0.25">
      <c r="A11">
        <v>5</v>
      </c>
      <c r="B11" t="s">
        <v>116</v>
      </c>
      <c r="C11" t="s">
        <v>120</v>
      </c>
      <c r="D11">
        <v>60</v>
      </c>
      <c r="E11" t="s">
        <v>126</v>
      </c>
    </row>
    <row r="12" spans="1:15" x14ac:dyDescent="0.25">
      <c r="A12">
        <v>6</v>
      </c>
      <c r="B12" t="s">
        <v>117</v>
      </c>
      <c r="C12" t="s">
        <v>120</v>
      </c>
      <c r="D12">
        <v>60</v>
      </c>
      <c r="E12" t="s">
        <v>126</v>
      </c>
    </row>
    <row r="13" spans="1:15" x14ac:dyDescent="0.25">
      <c r="A13">
        <v>7</v>
      </c>
      <c r="B13" t="s">
        <v>116</v>
      </c>
      <c r="C13" t="s">
        <v>35</v>
      </c>
      <c r="E13" t="s">
        <v>123</v>
      </c>
    </row>
    <row r="14" spans="1:15" x14ac:dyDescent="0.25">
      <c r="A14">
        <v>8</v>
      </c>
      <c r="B14" t="s">
        <v>117</v>
      </c>
      <c r="C14" t="s">
        <v>35</v>
      </c>
      <c r="E14" t="s">
        <v>123</v>
      </c>
    </row>
    <row r="17" spans="1:8" x14ac:dyDescent="0.25">
      <c r="A17" t="s">
        <v>132</v>
      </c>
      <c r="E17" t="s">
        <v>134</v>
      </c>
      <c r="G17" t="s">
        <v>135</v>
      </c>
    </row>
    <row r="18" spans="1:8" x14ac:dyDescent="0.25">
      <c r="E18" t="s">
        <v>65</v>
      </c>
      <c r="F18" t="s">
        <v>133</v>
      </c>
      <c r="G18" t="s">
        <v>136</v>
      </c>
      <c r="H18" t="s">
        <v>129</v>
      </c>
    </row>
    <row r="19" spans="1:8" x14ac:dyDescent="0.25">
      <c r="A19">
        <v>1</v>
      </c>
      <c r="B19" t="s">
        <v>116</v>
      </c>
      <c r="C19" t="s">
        <v>122</v>
      </c>
      <c r="D19">
        <v>5</v>
      </c>
      <c r="E19">
        <v>2100000</v>
      </c>
      <c r="F19">
        <v>2100000</v>
      </c>
      <c r="G19">
        <v>5</v>
      </c>
      <c r="H19">
        <f>LOG10($E$25/E19)</f>
        <v>-0.24303804868629447</v>
      </c>
    </row>
    <row r="20" spans="1:8" x14ac:dyDescent="0.25">
      <c r="A20">
        <v>2</v>
      </c>
      <c r="B20" t="s">
        <v>117</v>
      </c>
      <c r="C20" t="s">
        <v>122</v>
      </c>
      <c r="D20">
        <v>5</v>
      </c>
      <c r="E20">
        <v>1500000</v>
      </c>
      <c r="F20">
        <v>1500000</v>
      </c>
      <c r="G20">
        <v>5</v>
      </c>
      <c r="H20">
        <f>LOG10($E$26/E20)</f>
        <v>0.51410482097283239</v>
      </c>
    </row>
    <row r="21" spans="1:8" x14ac:dyDescent="0.25">
      <c r="A21">
        <v>3</v>
      </c>
      <c r="B21" t="s">
        <v>116</v>
      </c>
      <c r="C21" t="s">
        <v>119</v>
      </c>
      <c r="D21">
        <v>30</v>
      </c>
      <c r="E21">
        <v>740</v>
      </c>
      <c r="F21">
        <v>740</v>
      </c>
      <c r="G21">
        <v>30</v>
      </c>
      <c r="H21">
        <f>LOG10($E$25/E21)</f>
        <v>3.2099495263166484</v>
      </c>
    </row>
    <row r="22" spans="1:8" x14ac:dyDescent="0.25">
      <c r="A22">
        <v>4</v>
      </c>
      <c r="B22" t="s">
        <v>117</v>
      </c>
      <c r="C22" t="s">
        <v>119</v>
      </c>
      <c r="D22">
        <v>30</v>
      </c>
      <c r="E22">
        <v>77000</v>
      </c>
      <c r="F22">
        <v>77000</v>
      </c>
      <c r="G22">
        <v>30</v>
      </c>
      <c r="H22">
        <f>LOG10($E$26/E22)</f>
        <v>1.8037053548560318</v>
      </c>
    </row>
    <row r="23" spans="1:8" x14ac:dyDescent="0.25">
      <c r="A23">
        <v>5</v>
      </c>
      <c r="B23" t="s">
        <v>116</v>
      </c>
      <c r="C23" t="s">
        <v>120</v>
      </c>
      <c r="D23">
        <v>60</v>
      </c>
      <c r="E23" s="2">
        <v>1</v>
      </c>
      <c r="F23">
        <v>0</v>
      </c>
      <c r="G23">
        <v>60</v>
      </c>
      <c r="H23" s="5">
        <f>LOG10($E$25/E23)</f>
        <v>6.0791812460476251</v>
      </c>
    </row>
    <row r="24" spans="1:8" x14ac:dyDescent="0.25">
      <c r="A24">
        <v>6</v>
      </c>
      <c r="B24" t="s">
        <v>117</v>
      </c>
      <c r="C24" t="s">
        <v>120</v>
      </c>
      <c r="D24">
        <v>60</v>
      </c>
      <c r="E24">
        <v>1</v>
      </c>
      <c r="F24">
        <v>1</v>
      </c>
      <c r="G24">
        <v>60</v>
      </c>
      <c r="H24">
        <f>LOG10($E$26/E24)</f>
        <v>6.6901960800285138</v>
      </c>
    </row>
    <row r="25" spans="1:8" x14ac:dyDescent="0.25">
      <c r="A25">
        <v>7</v>
      </c>
      <c r="B25" t="s">
        <v>116</v>
      </c>
      <c r="C25" t="s">
        <v>35</v>
      </c>
      <c r="E25">
        <v>1200000</v>
      </c>
      <c r="F25">
        <v>1200000</v>
      </c>
    </row>
    <row r="26" spans="1:8" x14ac:dyDescent="0.25">
      <c r="A26">
        <v>8</v>
      </c>
      <c r="B26" t="s">
        <v>117</v>
      </c>
      <c r="C26" t="s">
        <v>35</v>
      </c>
      <c r="E26">
        <v>4900000</v>
      </c>
      <c r="F26">
        <v>4900000</v>
      </c>
    </row>
  </sheetData>
  <pageMargins left="0.70866141732283472" right="0.70866141732283472" top="0.74803149606299213" bottom="0.74803149606299213" header="0.31496062992125984" footer="0.31496062992125984"/>
  <pageSetup paperSize="9" scale="69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workbookViewId="0"/>
  </sheetViews>
  <sheetFormatPr defaultRowHeight="15" x14ac:dyDescent="0.25"/>
  <cols>
    <col min="3" max="3" width="15.7109375" customWidth="1"/>
    <col min="4" max="4" width="15.28515625" customWidth="1"/>
    <col min="5" max="5" width="22.42578125" customWidth="1"/>
    <col min="6" max="6" width="13.28515625" customWidth="1"/>
    <col min="7" max="7" width="10.42578125" customWidth="1"/>
  </cols>
  <sheetData>
    <row r="1" spans="1:18" x14ac:dyDescent="0.25">
      <c r="A1" t="s">
        <v>0</v>
      </c>
      <c r="G1" s="1">
        <v>41786</v>
      </c>
    </row>
    <row r="2" spans="1:18" x14ac:dyDescent="0.25">
      <c r="A2" s="31" t="s">
        <v>335</v>
      </c>
      <c r="D2">
        <v>65</v>
      </c>
      <c r="K2" t="s">
        <v>118</v>
      </c>
    </row>
    <row r="3" spans="1:18" x14ac:dyDescent="0.25">
      <c r="A3" t="s">
        <v>1</v>
      </c>
      <c r="D3" t="s">
        <v>139</v>
      </c>
    </row>
    <row r="4" spans="1:18" x14ac:dyDescent="0.25">
      <c r="K4" t="s">
        <v>37</v>
      </c>
      <c r="O4" t="s">
        <v>38</v>
      </c>
      <c r="R4" t="s">
        <v>39</v>
      </c>
    </row>
    <row r="5" spans="1:18" x14ac:dyDescent="0.25">
      <c r="R5" t="s">
        <v>40</v>
      </c>
    </row>
    <row r="6" spans="1:18" x14ac:dyDescent="0.25">
      <c r="A6" t="s">
        <v>27</v>
      </c>
      <c r="B6" t="s">
        <v>3</v>
      </c>
      <c r="C6" t="s">
        <v>28</v>
      </c>
      <c r="D6" t="s">
        <v>307</v>
      </c>
      <c r="E6" t="s">
        <v>56</v>
      </c>
      <c r="H6" t="s">
        <v>160</v>
      </c>
      <c r="K6" t="s">
        <v>36</v>
      </c>
      <c r="M6" t="s">
        <v>127</v>
      </c>
    </row>
    <row r="7" spans="1:18" x14ac:dyDescent="0.25">
      <c r="A7">
        <v>9</v>
      </c>
      <c r="B7" t="s">
        <v>116</v>
      </c>
      <c r="C7" t="s">
        <v>119</v>
      </c>
      <c r="D7">
        <v>30</v>
      </c>
      <c r="E7" t="s">
        <v>141</v>
      </c>
      <c r="H7">
        <v>140000</v>
      </c>
      <c r="I7" t="s">
        <v>169</v>
      </c>
      <c r="M7" t="s">
        <v>42</v>
      </c>
    </row>
    <row r="8" spans="1:18" x14ac:dyDescent="0.25">
      <c r="A8">
        <v>10</v>
      </c>
      <c r="B8" t="s">
        <v>116</v>
      </c>
      <c r="C8" t="s">
        <v>119</v>
      </c>
      <c r="D8">
        <v>30</v>
      </c>
      <c r="E8" t="s">
        <v>141</v>
      </c>
      <c r="H8">
        <v>40000</v>
      </c>
      <c r="I8" t="s">
        <v>169</v>
      </c>
      <c r="M8" t="s">
        <v>43</v>
      </c>
    </row>
    <row r="9" spans="1:18" x14ac:dyDescent="0.25">
      <c r="A9">
        <v>11</v>
      </c>
      <c r="B9" t="s">
        <v>116</v>
      </c>
      <c r="C9" t="s">
        <v>119</v>
      </c>
      <c r="D9">
        <v>30</v>
      </c>
      <c r="E9" t="s">
        <v>141</v>
      </c>
      <c r="H9">
        <v>14000</v>
      </c>
      <c r="I9" t="s">
        <v>169</v>
      </c>
    </row>
    <row r="10" spans="1:18" x14ac:dyDescent="0.25">
      <c r="A10">
        <v>12</v>
      </c>
      <c r="B10" t="s">
        <v>117</v>
      </c>
      <c r="C10" t="s">
        <v>119</v>
      </c>
      <c r="D10">
        <v>30</v>
      </c>
      <c r="E10" t="s">
        <v>141</v>
      </c>
      <c r="H10">
        <v>140000</v>
      </c>
    </row>
    <row r="11" spans="1:18" x14ac:dyDescent="0.25">
      <c r="A11">
        <v>13</v>
      </c>
      <c r="B11" t="s">
        <v>117</v>
      </c>
      <c r="C11" t="s">
        <v>119</v>
      </c>
      <c r="D11">
        <v>30</v>
      </c>
      <c r="E11" t="s">
        <v>141</v>
      </c>
      <c r="H11">
        <v>190000</v>
      </c>
    </row>
    <row r="12" spans="1:18" x14ac:dyDescent="0.25">
      <c r="A12">
        <v>14</v>
      </c>
      <c r="B12" t="s">
        <v>117</v>
      </c>
      <c r="C12" t="s">
        <v>119</v>
      </c>
      <c r="D12">
        <v>30</v>
      </c>
      <c r="E12" t="s">
        <v>141</v>
      </c>
      <c r="H12">
        <v>210000</v>
      </c>
    </row>
    <row r="13" spans="1:18" x14ac:dyDescent="0.25">
      <c r="A13">
        <v>15</v>
      </c>
      <c r="B13" t="s">
        <v>116</v>
      </c>
      <c r="C13" t="s">
        <v>140</v>
      </c>
      <c r="D13">
        <v>45</v>
      </c>
      <c r="E13" t="s">
        <v>142</v>
      </c>
      <c r="H13">
        <v>1</v>
      </c>
    </row>
    <row r="14" spans="1:18" x14ac:dyDescent="0.25">
      <c r="A14">
        <v>16</v>
      </c>
      <c r="B14" t="s">
        <v>116</v>
      </c>
      <c r="C14" t="s">
        <v>140</v>
      </c>
      <c r="D14">
        <v>45</v>
      </c>
      <c r="E14" t="s">
        <v>142</v>
      </c>
      <c r="H14">
        <v>0</v>
      </c>
    </row>
    <row r="15" spans="1:18" x14ac:dyDescent="0.25">
      <c r="A15">
        <v>17</v>
      </c>
      <c r="B15" t="s">
        <v>116</v>
      </c>
      <c r="C15" t="s">
        <v>140</v>
      </c>
      <c r="D15">
        <v>45</v>
      </c>
      <c r="E15" t="s">
        <v>142</v>
      </c>
      <c r="H15">
        <v>1</v>
      </c>
    </row>
    <row r="16" spans="1:18" x14ac:dyDescent="0.25">
      <c r="A16">
        <v>18</v>
      </c>
      <c r="B16" t="s">
        <v>117</v>
      </c>
      <c r="C16" t="s">
        <v>140</v>
      </c>
      <c r="D16">
        <v>45</v>
      </c>
      <c r="E16" t="s">
        <v>142</v>
      </c>
      <c r="H16">
        <v>0</v>
      </c>
    </row>
    <row r="17" spans="1:8" x14ac:dyDescent="0.25">
      <c r="A17">
        <v>19</v>
      </c>
      <c r="B17" t="s">
        <v>117</v>
      </c>
      <c r="C17" t="s">
        <v>140</v>
      </c>
      <c r="D17">
        <v>45</v>
      </c>
      <c r="E17" t="s">
        <v>142</v>
      </c>
      <c r="H17">
        <v>2</v>
      </c>
    </row>
    <row r="18" spans="1:8" x14ac:dyDescent="0.25">
      <c r="A18">
        <v>20</v>
      </c>
      <c r="B18" t="s">
        <v>117</v>
      </c>
      <c r="C18" t="s">
        <v>140</v>
      </c>
      <c r="D18">
        <v>45</v>
      </c>
      <c r="E18" t="s">
        <v>142</v>
      </c>
      <c r="H18">
        <v>3</v>
      </c>
    </row>
    <row r="19" spans="1:8" x14ac:dyDescent="0.25">
      <c r="A19">
        <v>21</v>
      </c>
      <c r="B19" t="s">
        <v>116</v>
      </c>
      <c r="C19" t="s">
        <v>120</v>
      </c>
      <c r="D19">
        <v>60</v>
      </c>
      <c r="E19" t="s">
        <v>126</v>
      </c>
      <c r="H19">
        <v>1</v>
      </c>
    </row>
    <row r="20" spans="1:8" x14ac:dyDescent="0.25">
      <c r="A20">
        <v>22</v>
      </c>
      <c r="B20" t="s">
        <v>116</v>
      </c>
      <c r="C20" t="s">
        <v>120</v>
      </c>
      <c r="D20">
        <v>60</v>
      </c>
      <c r="E20" t="s">
        <v>126</v>
      </c>
      <c r="H20">
        <v>0</v>
      </c>
    </row>
    <row r="21" spans="1:8" x14ac:dyDescent="0.25">
      <c r="A21">
        <v>23</v>
      </c>
      <c r="B21" t="s">
        <v>117</v>
      </c>
      <c r="C21" t="s">
        <v>120</v>
      </c>
      <c r="D21">
        <v>60</v>
      </c>
      <c r="E21" t="s">
        <v>126</v>
      </c>
      <c r="H21">
        <v>0</v>
      </c>
    </row>
    <row r="22" spans="1:8" x14ac:dyDescent="0.25">
      <c r="A22">
        <v>24</v>
      </c>
      <c r="B22" t="s">
        <v>117</v>
      </c>
      <c r="C22" t="s">
        <v>120</v>
      </c>
      <c r="D22">
        <v>60</v>
      </c>
      <c r="E22" t="s">
        <v>126</v>
      </c>
      <c r="H22">
        <v>2</v>
      </c>
    </row>
    <row r="23" spans="1:8" x14ac:dyDescent="0.25">
      <c r="A23">
        <v>25</v>
      </c>
      <c r="B23" t="s">
        <v>116</v>
      </c>
      <c r="C23" t="s">
        <v>35</v>
      </c>
      <c r="E23" t="s">
        <v>123</v>
      </c>
      <c r="F23" s="3"/>
      <c r="G23" s="3"/>
      <c r="H23" s="3">
        <v>3500000</v>
      </c>
    </row>
    <row r="24" spans="1:8" x14ac:dyDescent="0.25">
      <c r="A24">
        <v>26</v>
      </c>
      <c r="B24" t="s">
        <v>116</v>
      </c>
      <c r="C24" t="s">
        <v>35</v>
      </c>
      <c r="E24" t="s">
        <v>123</v>
      </c>
      <c r="H24">
        <v>4600000</v>
      </c>
    </row>
    <row r="25" spans="1:8" x14ac:dyDescent="0.25">
      <c r="A25">
        <v>27</v>
      </c>
      <c r="B25" t="s">
        <v>116</v>
      </c>
      <c r="C25" t="s">
        <v>35</v>
      </c>
      <c r="E25" t="s">
        <v>123</v>
      </c>
      <c r="H25">
        <v>4100000</v>
      </c>
    </row>
    <row r="26" spans="1:8" x14ac:dyDescent="0.25">
      <c r="A26">
        <v>28</v>
      </c>
      <c r="B26" t="s">
        <v>117</v>
      </c>
      <c r="C26" t="s">
        <v>35</v>
      </c>
      <c r="E26" t="s">
        <v>123</v>
      </c>
      <c r="H26">
        <v>5500000</v>
      </c>
    </row>
    <row r="27" spans="1:8" x14ac:dyDescent="0.25">
      <c r="A27">
        <v>29</v>
      </c>
      <c r="B27" t="s">
        <v>117</v>
      </c>
      <c r="C27" t="s">
        <v>35</v>
      </c>
      <c r="E27" t="s">
        <v>123</v>
      </c>
      <c r="H27">
        <v>5600000</v>
      </c>
    </row>
    <row r="28" spans="1:8" x14ac:dyDescent="0.25">
      <c r="A28">
        <v>30</v>
      </c>
      <c r="B28" t="s">
        <v>117</v>
      </c>
      <c r="C28" t="s">
        <v>35</v>
      </c>
      <c r="E28" t="s">
        <v>123</v>
      </c>
      <c r="H28">
        <v>5500000</v>
      </c>
    </row>
    <row r="35" spans="1:9" x14ac:dyDescent="0.25">
      <c r="A35" t="s">
        <v>132</v>
      </c>
      <c r="E35" t="s">
        <v>134</v>
      </c>
      <c r="G35" t="s">
        <v>135</v>
      </c>
    </row>
    <row r="36" spans="1:9" x14ac:dyDescent="0.25">
      <c r="E36" t="s">
        <v>166</v>
      </c>
      <c r="F36" t="s">
        <v>167</v>
      </c>
      <c r="G36" t="s">
        <v>136</v>
      </c>
      <c r="H36" t="s">
        <v>129</v>
      </c>
      <c r="I36" t="s">
        <v>168</v>
      </c>
    </row>
    <row r="37" spans="1:9" x14ac:dyDescent="0.25">
      <c r="A37">
        <v>4</v>
      </c>
      <c r="B37" t="s">
        <v>116</v>
      </c>
      <c r="C37" t="s">
        <v>35</v>
      </c>
      <c r="D37" s="3">
        <v>0</v>
      </c>
      <c r="E37" s="3">
        <f>AVERAGE(H23:H25)</f>
        <v>4066666.6666666665</v>
      </c>
      <c r="F37" s="3">
        <f>STDEV(H23:H25)</f>
        <v>550757.05472860904</v>
      </c>
      <c r="G37" s="3">
        <v>0</v>
      </c>
      <c r="H37" s="3">
        <f>LOG10($E$37/E37)</f>
        <v>0</v>
      </c>
      <c r="I37">
        <f>100*F37/E37</f>
        <v>13.543206263818256</v>
      </c>
    </row>
    <row r="38" spans="1:9" x14ac:dyDescent="0.25">
      <c r="A38">
        <v>1</v>
      </c>
      <c r="B38" t="s">
        <v>116</v>
      </c>
      <c r="C38" t="s">
        <v>119</v>
      </c>
      <c r="D38" s="3">
        <v>30</v>
      </c>
      <c r="E38" s="3">
        <f>AVERAGE(H7:H9)</f>
        <v>64666.666666666664</v>
      </c>
      <c r="F38" s="3">
        <f>STDEV(H7:H9)</f>
        <v>66523.178917827827</v>
      </c>
      <c r="G38" s="3">
        <v>30</v>
      </c>
      <c r="H38" s="3">
        <f>LOG10($E$37/E38)</f>
        <v>1.7985581007445222</v>
      </c>
      <c r="I38">
        <f t="shared" ref="I38:I44" si="0">100*F38/E38</f>
        <v>102.87089523375438</v>
      </c>
    </row>
    <row r="39" spans="1:9" x14ac:dyDescent="0.25">
      <c r="A39">
        <v>2</v>
      </c>
      <c r="B39" t="s">
        <v>116</v>
      </c>
      <c r="C39" t="s">
        <v>140</v>
      </c>
      <c r="D39" s="3">
        <v>45</v>
      </c>
      <c r="E39" s="3">
        <f>AVERAGE(H13:H15)</f>
        <v>0.66666666666666663</v>
      </c>
      <c r="F39" s="3">
        <f>STDEV(H13:H15)</f>
        <v>0.57735026918962584</v>
      </c>
      <c r="G39" s="3">
        <v>45</v>
      </c>
      <c r="H39" s="3">
        <f>LOG10($E$37/E39)</f>
        <v>6.7853298350107671</v>
      </c>
      <c r="I39">
        <f t="shared" si="0"/>
        <v>86.602540378443877</v>
      </c>
    </row>
    <row r="40" spans="1:9" x14ac:dyDescent="0.25">
      <c r="A40">
        <v>3</v>
      </c>
      <c r="B40" t="s">
        <v>116</v>
      </c>
      <c r="C40" t="s">
        <v>120</v>
      </c>
      <c r="D40" s="3">
        <v>60</v>
      </c>
      <c r="E40" s="3">
        <f>AVERAGE(H19:H20)</f>
        <v>0.5</v>
      </c>
      <c r="F40" s="3">
        <f>STDEV(H19:H20)</f>
        <v>0.70710678118654757</v>
      </c>
      <c r="G40" s="3">
        <v>60</v>
      </c>
      <c r="H40" s="3">
        <f>LOG10($E$37/E40)</f>
        <v>6.910268571619067</v>
      </c>
      <c r="I40">
        <f t="shared" si="0"/>
        <v>141.42135623730951</v>
      </c>
    </row>
    <row r="41" spans="1:9" x14ac:dyDescent="0.25">
      <c r="A41">
        <v>8</v>
      </c>
      <c r="B41" t="s">
        <v>117</v>
      </c>
      <c r="C41" t="s">
        <v>35</v>
      </c>
      <c r="D41" s="3">
        <v>0</v>
      </c>
      <c r="E41" s="3">
        <f>AVERAGE(H26:H28)</f>
        <v>5533333.333333333</v>
      </c>
      <c r="F41" s="3">
        <f>STDEV(H26:H28)</f>
        <v>57735.026918962576</v>
      </c>
      <c r="G41" s="3">
        <v>0</v>
      </c>
      <c r="H41" s="3">
        <f>LOG10($E$41/E41)</f>
        <v>0</v>
      </c>
      <c r="I41">
        <f t="shared" si="0"/>
        <v>1.0434041009451069</v>
      </c>
    </row>
    <row r="42" spans="1:9" x14ac:dyDescent="0.25">
      <c r="A42">
        <v>5</v>
      </c>
      <c r="B42" t="s">
        <v>117</v>
      </c>
      <c r="C42" t="s">
        <v>119</v>
      </c>
      <c r="D42" s="3">
        <v>30</v>
      </c>
      <c r="E42" s="3">
        <f>AVERAGE(H10:H12)</f>
        <v>180000</v>
      </c>
      <c r="F42" s="3">
        <f>STDEV(H10:H12)</f>
        <v>36055.512754639894</v>
      </c>
      <c r="G42" s="3">
        <v>30</v>
      </c>
      <c r="H42" s="3">
        <f>LOG10($E$41/E42)</f>
        <v>1.4877143282170866</v>
      </c>
      <c r="I42">
        <f t="shared" si="0"/>
        <v>20.030840419244385</v>
      </c>
    </row>
    <row r="43" spans="1:9" x14ac:dyDescent="0.25">
      <c r="A43">
        <v>6</v>
      </c>
      <c r="B43" t="s">
        <v>117</v>
      </c>
      <c r="C43" t="s">
        <v>140</v>
      </c>
      <c r="D43" s="3">
        <v>45</v>
      </c>
      <c r="E43" s="3">
        <f>AVERAGE(H16:H18)</f>
        <v>1.6666666666666667</v>
      </c>
      <c r="F43" s="3">
        <f>AVERAGE(H17:H19)</f>
        <v>2</v>
      </c>
      <c r="G43" s="3">
        <v>45</v>
      </c>
      <c r="H43" s="3">
        <f>LOG10($E$41/E43)</f>
        <v>6.5211380837040362</v>
      </c>
      <c r="I43">
        <f t="shared" si="0"/>
        <v>120</v>
      </c>
    </row>
    <row r="44" spans="1:9" x14ac:dyDescent="0.25">
      <c r="A44">
        <v>7</v>
      </c>
      <c r="B44" t="s">
        <v>117</v>
      </c>
      <c r="C44" t="s">
        <v>120</v>
      </c>
      <c r="D44" s="3">
        <v>60</v>
      </c>
      <c r="E44" s="3">
        <f>AVERAGE(H21:H22)</f>
        <v>1</v>
      </c>
      <c r="F44" s="3">
        <f>STDEV(H21:H22)</f>
        <v>1.4142135623730951</v>
      </c>
      <c r="G44" s="3">
        <v>60</v>
      </c>
      <c r="H44" s="3">
        <f>LOG10($E$41/E44)</f>
        <v>6.7429868333203924</v>
      </c>
      <c r="I44">
        <f t="shared" si="0"/>
        <v>141.42135623730951</v>
      </c>
    </row>
  </sheetData>
  <pageMargins left="0.70866141732283472" right="0.70866141732283472" top="0.74803149606299213" bottom="0.74803149606299213" header="0.31496062992125984" footer="0.31496062992125984"/>
  <pageSetup paperSize="9" scale="76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0"/>
  <sheetViews>
    <sheetView workbookViewId="0"/>
  </sheetViews>
  <sheetFormatPr defaultRowHeight="15" x14ac:dyDescent="0.25"/>
  <cols>
    <col min="3" max="3" width="15.7109375" customWidth="1"/>
    <col min="4" max="4" width="12.7109375" customWidth="1"/>
    <col min="5" max="5" width="10" customWidth="1"/>
    <col min="7" max="7" width="10.42578125" customWidth="1"/>
  </cols>
  <sheetData>
    <row r="1" spans="1:18" x14ac:dyDescent="0.25">
      <c r="A1" t="s">
        <v>0</v>
      </c>
      <c r="G1" s="1">
        <v>41794</v>
      </c>
    </row>
    <row r="2" spans="1:18" x14ac:dyDescent="0.25">
      <c r="A2" s="31" t="s">
        <v>335</v>
      </c>
      <c r="D2">
        <v>65</v>
      </c>
      <c r="K2" t="s">
        <v>118</v>
      </c>
    </row>
    <row r="3" spans="1:18" x14ac:dyDescent="0.25">
      <c r="A3" t="s">
        <v>1</v>
      </c>
      <c r="D3" t="s">
        <v>139</v>
      </c>
    </row>
    <row r="4" spans="1:18" x14ac:dyDescent="0.25">
      <c r="K4" t="s">
        <v>37</v>
      </c>
      <c r="O4" t="s">
        <v>38</v>
      </c>
      <c r="R4" t="s">
        <v>39</v>
      </c>
    </row>
    <row r="5" spans="1:18" x14ac:dyDescent="0.25">
      <c r="R5" t="s">
        <v>40</v>
      </c>
    </row>
    <row r="6" spans="1:18" x14ac:dyDescent="0.25">
      <c r="A6" t="s">
        <v>27</v>
      </c>
      <c r="B6" t="s">
        <v>3</v>
      </c>
      <c r="C6" t="s">
        <v>28</v>
      </c>
      <c r="D6" t="s">
        <v>307</v>
      </c>
      <c r="E6" t="s">
        <v>56</v>
      </c>
      <c r="H6" t="s">
        <v>160</v>
      </c>
      <c r="K6" t="s">
        <v>36</v>
      </c>
      <c r="M6" t="s">
        <v>127</v>
      </c>
    </row>
    <row r="7" spans="1:18" x14ac:dyDescent="0.25">
      <c r="A7">
        <v>1</v>
      </c>
      <c r="B7" t="s">
        <v>116</v>
      </c>
      <c r="C7" t="s">
        <v>119</v>
      </c>
      <c r="D7">
        <v>30</v>
      </c>
      <c r="E7" t="s">
        <v>141</v>
      </c>
      <c r="H7" s="3">
        <v>7200</v>
      </c>
      <c r="M7" t="s">
        <v>42</v>
      </c>
    </row>
    <row r="8" spans="1:18" x14ac:dyDescent="0.25">
      <c r="A8">
        <v>2</v>
      </c>
      <c r="B8" t="s">
        <v>116</v>
      </c>
      <c r="C8" t="s">
        <v>119</v>
      </c>
      <c r="D8">
        <v>30</v>
      </c>
      <c r="E8" t="s">
        <v>141</v>
      </c>
      <c r="H8" s="3">
        <v>690</v>
      </c>
      <c r="M8" t="s">
        <v>43</v>
      </c>
    </row>
    <row r="9" spans="1:18" x14ac:dyDescent="0.25">
      <c r="A9">
        <v>3</v>
      </c>
      <c r="B9" t="s">
        <v>116</v>
      </c>
      <c r="C9" t="s">
        <v>119</v>
      </c>
      <c r="D9">
        <v>30</v>
      </c>
      <c r="E9" t="s">
        <v>141</v>
      </c>
      <c r="H9" s="3">
        <v>29000</v>
      </c>
    </row>
    <row r="10" spans="1:18" x14ac:dyDescent="0.25">
      <c r="A10">
        <v>4</v>
      </c>
      <c r="B10" t="s">
        <v>117</v>
      </c>
      <c r="C10" t="s">
        <v>119</v>
      </c>
      <c r="D10">
        <v>30</v>
      </c>
      <c r="E10" t="s">
        <v>141</v>
      </c>
      <c r="H10" s="3">
        <v>270000</v>
      </c>
    </row>
    <row r="11" spans="1:18" x14ac:dyDescent="0.25">
      <c r="A11">
        <v>5</v>
      </c>
      <c r="B11" t="s">
        <v>117</v>
      </c>
      <c r="C11" t="s">
        <v>119</v>
      </c>
      <c r="D11">
        <v>30</v>
      </c>
      <c r="E11" t="s">
        <v>141</v>
      </c>
      <c r="H11" s="3">
        <v>600000</v>
      </c>
    </row>
    <row r="12" spans="1:18" x14ac:dyDescent="0.25">
      <c r="A12">
        <v>6</v>
      </c>
      <c r="B12" t="s">
        <v>117</v>
      </c>
      <c r="C12" t="s">
        <v>119</v>
      </c>
      <c r="D12">
        <v>30</v>
      </c>
      <c r="E12" t="s">
        <v>141</v>
      </c>
      <c r="H12" s="3">
        <v>460000</v>
      </c>
    </row>
    <row r="13" spans="1:18" x14ac:dyDescent="0.25">
      <c r="A13">
        <v>7</v>
      </c>
      <c r="B13" t="s">
        <v>116</v>
      </c>
      <c r="C13" t="s">
        <v>140</v>
      </c>
      <c r="D13">
        <v>45</v>
      </c>
      <c r="E13" t="s">
        <v>142</v>
      </c>
      <c r="H13" s="3">
        <v>0</v>
      </c>
    </row>
    <row r="14" spans="1:18" x14ac:dyDescent="0.25">
      <c r="A14">
        <v>8</v>
      </c>
      <c r="B14" t="s">
        <v>116</v>
      </c>
      <c r="C14" t="s">
        <v>140</v>
      </c>
      <c r="D14">
        <v>45</v>
      </c>
      <c r="E14" t="s">
        <v>142</v>
      </c>
      <c r="H14" s="3">
        <v>0</v>
      </c>
    </row>
    <row r="15" spans="1:18" x14ac:dyDescent="0.25">
      <c r="A15">
        <v>9</v>
      </c>
      <c r="B15" t="s">
        <v>116</v>
      </c>
      <c r="C15" t="s">
        <v>140</v>
      </c>
      <c r="D15">
        <v>45</v>
      </c>
      <c r="E15" t="s">
        <v>142</v>
      </c>
      <c r="H15" s="3">
        <v>0</v>
      </c>
    </row>
    <row r="16" spans="1:18" x14ac:dyDescent="0.25">
      <c r="A16">
        <v>10</v>
      </c>
      <c r="B16" t="s">
        <v>117</v>
      </c>
      <c r="C16" t="s">
        <v>140</v>
      </c>
      <c r="D16">
        <v>45</v>
      </c>
      <c r="E16" t="s">
        <v>142</v>
      </c>
      <c r="H16" s="3">
        <v>440</v>
      </c>
    </row>
    <row r="17" spans="1:8" x14ac:dyDescent="0.25">
      <c r="A17">
        <v>11</v>
      </c>
      <c r="B17" t="s">
        <v>117</v>
      </c>
      <c r="C17" t="s">
        <v>140</v>
      </c>
      <c r="D17">
        <v>45</v>
      </c>
      <c r="E17" t="s">
        <v>142</v>
      </c>
      <c r="H17" s="3">
        <v>630</v>
      </c>
    </row>
    <row r="18" spans="1:8" x14ac:dyDescent="0.25">
      <c r="A18">
        <v>12</v>
      </c>
      <c r="B18" t="s">
        <v>117</v>
      </c>
      <c r="C18" t="s">
        <v>140</v>
      </c>
      <c r="D18">
        <v>45</v>
      </c>
      <c r="E18" t="s">
        <v>142</v>
      </c>
      <c r="H18" s="3">
        <v>270</v>
      </c>
    </row>
    <row r="19" spans="1:8" x14ac:dyDescent="0.25">
      <c r="A19">
        <v>13</v>
      </c>
      <c r="B19" t="s">
        <v>116</v>
      </c>
      <c r="C19" t="s">
        <v>120</v>
      </c>
      <c r="D19">
        <v>60</v>
      </c>
      <c r="E19" t="s">
        <v>126</v>
      </c>
      <c r="H19" s="3">
        <v>0</v>
      </c>
    </row>
    <row r="20" spans="1:8" x14ac:dyDescent="0.25">
      <c r="A20">
        <v>14</v>
      </c>
      <c r="B20" t="s">
        <v>116</v>
      </c>
      <c r="C20" t="s">
        <v>120</v>
      </c>
      <c r="D20">
        <v>60</v>
      </c>
      <c r="E20" t="s">
        <v>126</v>
      </c>
      <c r="H20" s="3">
        <v>0</v>
      </c>
    </row>
    <row r="21" spans="1:8" x14ac:dyDescent="0.25">
      <c r="A21">
        <v>15</v>
      </c>
      <c r="B21" t="s">
        <v>116</v>
      </c>
      <c r="C21" t="s">
        <v>120</v>
      </c>
      <c r="D21">
        <v>60</v>
      </c>
      <c r="E21" t="s">
        <v>126</v>
      </c>
      <c r="H21" s="3">
        <v>0</v>
      </c>
    </row>
    <row r="22" spans="1:8" x14ac:dyDescent="0.25">
      <c r="A22">
        <v>16</v>
      </c>
      <c r="B22" t="s">
        <v>117</v>
      </c>
      <c r="C22" t="s">
        <v>120</v>
      </c>
      <c r="D22">
        <v>60</v>
      </c>
      <c r="E22" t="s">
        <v>126</v>
      </c>
      <c r="H22" s="3">
        <v>49</v>
      </c>
    </row>
    <row r="23" spans="1:8" x14ac:dyDescent="0.25">
      <c r="A23">
        <v>17</v>
      </c>
      <c r="B23" t="s">
        <v>117</v>
      </c>
      <c r="C23" t="s">
        <v>120</v>
      </c>
      <c r="D23">
        <v>60</v>
      </c>
      <c r="E23" t="s">
        <v>126</v>
      </c>
      <c r="G23" s="3"/>
      <c r="H23" s="3">
        <v>58</v>
      </c>
    </row>
    <row r="24" spans="1:8" x14ac:dyDescent="0.25">
      <c r="A24">
        <v>18</v>
      </c>
      <c r="B24" t="s">
        <v>117</v>
      </c>
      <c r="C24" t="s">
        <v>120</v>
      </c>
      <c r="D24">
        <v>60</v>
      </c>
      <c r="E24" t="s">
        <v>126</v>
      </c>
      <c r="H24" s="3">
        <v>99</v>
      </c>
    </row>
    <row r="25" spans="1:8" x14ac:dyDescent="0.25">
      <c r="A25">
        <v>19</v>
      </c>
      <c r="B25" t="s">
        <v>116</v>
      </c>
      <c r="C25" t="s">
        <v>35</v>
      </c>
      <c r="E25" t="s">
        <v>123</v>
      </c>
      <c r="F25" s="3"/>
      <c r="H25" s="3">
        <v>2600000</v>
      </c>
    </row>
    <row r="26" spans="1:8" x14ac:dyDescent="0.25">
      <c r="A26">
        <v>20</v>
      </c>
      <c r="B26" t="s">
        <v>116</v>
      </c>
      <c r="C26" t="s">
        <v>35</v>
      </c>
      <c r="E26" t="s">
        <v>123</v>
      </c>
      <c r="H26" s="3">
        <v>2900000</v>
      </c>
    </row>
    <row r="27" spans="1:8" x14ac:dyDescent="0.25">
      <c r="A27">
        <v>21</v>
      </c>
      <c r="B27" t="s">
        <v>116</v>
      </c>
      <c r="C27" t="s">
        <v>35</v>
      </c>
      <c r="E27" t="s">
        <v>123</v>
      </c>
      <c r="H27" s="3">
        <v>3800000</v>
      </c>
    </row>
    <row r="28" spans="1:8" x14ac:dyDescent="0.25">
      <c r="A28">
        <v>22</v>
      </c>
      <c r="B28" t="s">
        <v>117</v>
      </c>
      <c r="C28" t="s">
        <v>35</v>
      </c>
      <c r="E28" t="s">
        <v>123</v>
      </c>
      <c r="H28" s="3">
        <v>3800000</v>
      </c>
    </row>
    <row r="29" spans="1:8" x14ac:dyDescent="0.25">
      <c r="A29">
        <v>23</v>
      </c>
      <c r="B29" t="s">
        <v>117</v>
      </c>
      <c r="C29" t="s">
        <v>35</v>
      </c>
      <c r="E29" t="s">
        <v>123</v>
      </c>
      <c r="H29" s="3">
        <v>2300000</v>
      </c>
    </row>
    <row r="30" spans="1:8" x14ac:dyDescent="0.25">
      <c r="A30">
        <v>24</v>
      </c>
      <c r="B30" t="s">
        <v>117</v>
      </c>
      <c r="C30" t="s">
        <v>35</v>
      </c>
      <c r="E30" t="s">
        <v>123</v>
      </c>
      <c r="H30" s="3">
        <v>2500000</v>
      </c>
    </row>
    <row r="35" spans="1:10" x14ac:dyDescent="0.25">
      <c r="A35" t="s">
        <v>132</v>
      </c>
      <c r="E35" t="s">
        <v>134</v>
      </c>
      <c r="G35" t="s">
        <v>135</v>
      </c>
    </row>
    <row r="36" spans="1:10" x14ac:dyDescent="0.25">
      <c r="E36" t="s">
        <v>166</v>
      </c>
      <c r="F36" t="s">
        <v>167</v>
      </c>
      <c r="G36" t="s">
        <v>136</v>
      </c>
      <c r="H36" t="s">
        <v>129</v>
      </c>
      <c r="I36" t="s">
        <v>168</v>
      </c>
    </row>
    <row r="37" spans="1:10" x14ac:dyDescent="0.25">
      <c r="A37">
        <v>1</v>
      </c>
      <c r="B37" t="s">
        <v>116</v>
      </c>
      <c r="C37" t="s">
        <v>35</v>
      </c>
      <c r="D37" s="3">
        <v>0</v>
      </c>
      <c r="E37" s="3">
        <f>AVERAGE(H25:H27)</f>
        <v>3100000</v>
      </c>
      <c r="F37" s="3">
        <f>STDEV(H25:H27)</f>
        <v>624499.7998398398</v>
      </c>
      <c r="G37" s="3">
        <v>0</v>
      </c>
      <c r="H37" s="3">
        <f>LOG10($E$37/E37)</f>
        <v>0</v>
      </c>
      <c r="I37">
        <f>100*F37/E37</f>
        <v>20.14515483354322</v>
      </c>
    </row>
    <row r="38" spans="1:10" x14ac:dyDescent="0.25">
      <c r="A38">
        <v>2</v>
      </c>
      <c r="B38" t="s">
        <v>116</v>
      </c>
      <c r="C38" t="s">
        <v>119</v>
      </c>
      <c r="D38" s="3">
        <v>30</v>
      </c>
      <c r="E38" s="3">
        <f>AVERAGE(H7:H9)</f>
        <v>12296.666666666666</v>
      </c>
      <c r="F38" s="3">
        <f>STDEV(H7:H9)</f>
        <v>14827.20585050782</v>
      </c>
      <c r="G38" s="3">
        <v>30</v>
      </c>
      <c r="H38" s="3">
        <f>LOG10($E$37/E38)</f>
        <v>2.4015742933271316</v>
      </c>
      <c r="I38">
        <f t="shared" ref="I38:I44" si="0">100*F38/E38</f>
        <v>120.57906628225389</v>
      </c>
    </row>
    <row r="39" spans="1:10" x14ac:dyDescent="0.25">
      <c r="A39">
        <v>3</v>
      </c>
      <c r="B39" t="s">
        <v>116</v>
      </c>
      <c r="C39" t="s">
        <v>140</v>
      </c>
      <c r="D39" s="3">
        <v>45</v>
      </c>
      <c r="E39" s="3">
        <f>AVERAGE(H13:H15)</f>
        <v>0</v>
      </c>
      <c r="F39" s="3">
        <f>STDEV(H13:H15)</f>
        <v>0</v>
      </c>
      <c r="G39" s="3">
        <v>45</v>
      </c>
      <c r="H39" s="2">
        <f>LOG10($E$37)</f>
        <v>6.4913616938342731</v>
      </c>
      <c r="I39" t="e">
        <f t="shared" si="0"/>
        <v>#DIV/0!</v>
      </c>
      <c r="J39" t="s">
        <v>187</v>
      </c>
    </row>
    <row r="40" spans="1:10" x14ac:dyDescent="0.25">
      <c r="A40">
        <v>4</v>
      </c>
      <c r="B40" t="s">
        <v>116</v>
      </c>
      <c r="C40" t="s">
        <v>120</v>
      </c>
      <c r="D40" s="3">
        <v>60</v>
      </c>
      <c r="E40" s="3">
        <f>AVERAGE(H19:H20)</f>
        <v>0</v>
      </c>
      <c r="F40" s="3">
        <f>STDEV(H19:H20)</f>
        <v>0</v>
      </c>
      <c r="G40" s="3">
        <v>60</v>
      </c>
      <c r="H40" s="2">
        <f>LOG10($E$37)</f>
        <v>6.4913616938342731</v>
      </c>
      <c r="I40" t="e">
        <f t="shared" si="0"/>
        <v>#DIV/0!</v>
      </c>
    </row>
    <row r="41" spans="1:10" x14ac:dyDescent="0.25">
      <c r="A41">
        <v>5</v>
      </c>
      <c r="B41" t="s">
        <v>117</v>
      </c>
      <c r="C41" t="s">
        <v>35</v>
      </c>
      <c r="D41" s="3">
        <v>0</v>
      </c>
      <c r="E41" s="3">
        <f>AVERAGE(H28:H30)</f>
        <v>2866666.6666666665</v>
      </c>
      <c r="F41" s="3">
        <f>STDEV(H28:H30)</f>
        <v>814452.78152470815</v>
      </c>
      <c r="G41" s="3">
        <v>0</v>
      </c>
      <c r="H41" s="3">
        <f>LOG10($E$41/E41)</f>
        <v>0</v>
      </c>
      <c r="I41">
        <f t="shared" si="0"/>
        <v>28.411143541559586</v>
      </c>
    </row>
    <row r="42" spans="1:10" x14ac:dyDescent="0.25">
      <c r="A42">
        <v>6</v>
      </c>
      <c r="B42" t="s">
        <v>117</v>
      </c>
      <c r="C42" t="s">
        <v>119</v>
      </c>
      <c r="D42" s="3">
        <v>30</v>
      </c>
      <c r="E42" s="3">
        <f>AVERAGE(H10:H12)</f>
        <v>443333.33333333331</v>
      </c>
      <c r="F42" s="3">
        <f>STDEV(H10:H12)</f>
        <v>165630.10998406453</v>
      </c>
      <c r="G42" s="3">
        <v>30</v>
      </c>
      <c r="H42" s="3">
        <f>LOG10($E$41/E42)</f>
        <v>0.810646810276482</v>
      </c>
      <c r="I42">
        <f t="shared" si="0"/>
        <v>37.360175184375457</v>
      </c>
    </row>
    <row r="43" spans="1:10" x14ac:dyDescent="0.25">
      <c r="A43">
        <v>7</v>
      </c>
      <c r="B43" t="s">
        <v>117</v>
      </c>
      <c r="C43" t="s">
        <v>140</v>
      </c>
      <c r="D43" s="3">
        <v>45</v>
      </c>
      <c r="E43" s="3">
        <f>AVERAGE(H16:H18)</f>
        <v>446.66666666666669</v>
      </c>
      <c r="F43" s="3">
        <f>AVERAGE(H17:H19)</f>
        <v>300</v>
      </c>
      <c r="G43" s="3">
        <v>45</v>
      </c>
      <c r="H43" s="3">
        <f>LOG10($E$41/E43)</f>
        <v>3.8073936528787602</v>
      </c>
      <c r="I43">
        <f t="shared" si="0"/>
        <v>67.164179104477611</v>
      </c>
    </row>
    <row r="44" spans="1:10" x14ac:dyDescent="0.25">
      <c r="A44">
        <v>8</v>
      </c>
      <c r="B44" t="s">
        <v>117</v>
      </c>
      <c r="C44" t="s">
        <v>120</v>
      </c>
      <c r="D44" s="3">
        <v>60</v>
      </c>
      <c r="E44" s="3">
        <f>AVERAGE(H21:H22)</f>
        <v>24.5</v>
      </c>
      <c r="F44" s="3">
        <f>STDEV(H21:H22)</f>
        <v>34.648232278140831</v>
      </c>
      <c r="G44" s="3">
        <v>60</v>
      </c>
      <c r="H44" s="3">
        <f>LOG10($E$41/E44)</f>
        <v>5.0682111121593731</v>
      </c>
      <c r="I44">
        <f t="shared" si="0"/>
        <v>141.42135623730951</v>
      </c>
    </row>
    <row r="45" spans="1:10" x14ac:dyDescent="0.25">
      <c r="D45" s="3"/>
    </row>
    <row r="46" spans="1:10" x14ac:dyDescent="0.25">
      <c r="D46" s="3"/>
    </row>
    <row r="47" spans="1:10" x14ac:dyDescent="0.25">
      <c r="D47" s="3"/>
    </row>
    <row r="48" spans="1:10" x14ac:dyDescent="0.25">
      <c r="D48" s="3"/>
    </row>
    <row r="49" spans="4:4" x14ac:dyDescent="0.25">
      <c r="D49" s="3"/>
    </row>
    <row r="50" spans="4:4" x14ac:dyDescent="0.25">
      <c r="D50" s="3"/>
    </row>
    <row r="51" spans="4:4" x14ac:dyDescent="0.25">
      <c r="D51" s="3"/>
    </row>
    <row r="52" spans="4:4" x14ac:dyDescent="0.25">
      <c r="D52" s="3"/>
    </row>
    <row r="53" spans="4:4" x14ac:dyDescent="0.25">
      <c r="D53" s="3"/>
    </row>
    <row r="54" spans="4:4" x14ac:dyDescent="0.25">
      <c r="D54" s="3"/>
    </row>
    <row r="55" spans="4:4" x14ac:dyDescent="0.25">
      <c r="D55" s="3"/>
    </row>
    <row r="56" spans="4:4" x14ac:dyDescent="0.25">
      <c r="D56" s="3"/>
    </row>
    <row r="57" spans="4:4" x14ac:dyDescent="0.25">
      <c r="D57" s="3"/>
    </row>
    <row r="58" spans="4:4" x14ac:dyDescent="0.25">
      <c r="D58" s="3"/>
    </row>
    <row r="59" spans="4:4" x14ac:dyDescent="0.25">
      <c r="D59" s="3"/>
    </row>
    <row r="60" spans="4:4" x14ac:dyDescent="0.25">
      <c r="D60" s="3"/>
    </row>
  </sheetData>
  <pageMargins left="0.70866141732283472" right="0.70866141732283472" top="0.74803149606299213" bottom="0.74803149606299213" header="0.31496062992125984" footer="0.31496062992125984"/>
  <pageSetup paperSize="9" scale="57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workbookViewId="0"/>
  </sheetViews>
  <sheetFormatPr defaultRowHeight="15" x14ac:dyDescent="0.25"/>
  <cols>
    <col min="3" max="3" width="13.5703125" customWidth="1"/>
    <col min="5" max="5" width="10" customWidth="1"/>
    <col min="7" max="7" width="10.42578125" customWidth="1"/>
  </cols>
  <sheetData>
    <row r="1" spans="1:18" x14ac:dyDescent="0.25">
      <c r="A1" t="s">
        <v>0</v>
      </c>
      <c r="G1" s="1">
        <v>41788</v>
      </c>
    </row>
    <row r="2" spans="1:18" x14ac:dyDescent="0.25">
      <c r="A2" s="31" t="s">
        <v>335</v>
      </c>
      <c r="D2">
        <v>65</v>
      </c>
      <c r="K2" t="s">
        <v>208</v>
      </c>
    </row>
    <row r="3" spans="1:18" x14ac:dyDescent="0.25">
      <c r="A3" t="s">
        <v>1</v>
      </c>
      <c r="D3" t="s">
        <v>165</v>
      </c>
    </row>
    <row r="4" spans="1:18" x14ac:dyDescent="0.25">
      <c r="K4" t="s">
        <v>37</v>
      </c>
      <c r="O4" t="s">
        <v>38</v>
      </c>
      <c r="R4" t="s">
        <v>39</v>
      </c>
    </row>
    <row r="5" spans="1:18" x14ac:dyDescent="0.25">
      <c r="R5" t="s">
        <v>40</v>
      </c>
    </row>
    <row r="6" spans="1:18" x14ac:dyDescent="0.25">
      <c r="A6" t="s">
        <v>27</v>
      </c>
      <c r="B6" t="s">
        <v>3</v>
      </c>
      <c r="C6" t="s">
        <v>28</v>
      </c>
      <c r="E6" t="s">
        <v>56</v>
      </c>
      <c r="H6" t="s">
        <v>160</v>
      </c>
      <c r="K6" t="s">
        <v>199</v>
      </c>
      <c r="M6" t="s">
        <v>127</v>
      </c>
    </row>
    <row r="7" spans="1:18" x14ac:dyDescent="0.25">
      <c r="A7">
        <v>7</v>
      </c>
      <c r="B7" t="s">
        <v>117</v>
      </c>
      <c r="C7" t="s">
        <v>161</v>
      </c>
      <c r="E7" t="s">
        <v>162</v>
      </c>
      <c r="M7" t="s">
        <v>42</v>
      </c>
    </row>
    <row r="8" spans="1:18" x14ac:dyDescent="0.25">
      <c r="A8">
        <v>8</v>
      </c>
      <c r="B8" t="s">
        <v>117</v>
      </c>
      <c r="C8" t="s">
        <v>119</v>
      </c>
      <c r="E8" t="s">
        <v>164</v>
      </c>
      <c r="M8" t="s">
        <v>43</v>
      </c>
    </row>
    <row r="9" spans="1:18" x14ac:dyDescent="0.25">
      <c r="A9">
        <v>9</v>
      </c>
      <c r="B9" t="s">
        <v>117</v>
      </c>
      <c r="C9" t="s">
        <v>120</v>
      </c>
      <c r="E9" t="s">
        <v>163</v>
      </c>
    </row>
    <row r="10" spans="1:18" x14ac:dyDescent="0.25">
      <c r="A10">
        <v>10</v>
      </c>
      <c r="B10" t="s">
        <v>117</v>
      </c>
      <c r="C10" t="s">
        <v>35</v>
      </c>
      <c r="E10" t="s">
        <v>162</v>
      </c>
    </row>
    <row r="14" spans="1:18" x14ac:dyDescent="0.25">
      <c r="A14" t="s">
        <v>132</v>
      </c>
    </row>
    <row r="15" spans="1:18" x14ac:dyDescent="0.25">
      <c r="D15" t="s">
        <v>343</v>
      </c>
      <c r="E15" t="s">
        <v>200</v>
      </c>
      <c r="G15" t="s">
        <v>343</v>
      </c>
      <c r="H15" t="s">
        <v>129</v>
      </c>
    </row>
    <row r="16" spans="1:18" x14ac:dyDescent="0.25">
      <c r="A16">
        <v>7</v>
      </c>
      <c r="B16" t="s">
        <v>117</v>
      </c>
      <c r="C16" t="s">
        <v>161</v>
      </c>
      <c r="D16" s="3">
        <v>1</v>
      </c>
      <c r="E16" s="3">
        <v>1200000</v>
      </c>
      <c r="F16" s="3"/>
      <c r="G16" s="3">
        <v>1</v>
      </c>
      <c r="H16" s="3">
        <f>LOG10($E$19/E16)</f>
        <v>-3.7788560889399803E-2</v>
      </c>
    </row>
    <row r="17" spans="1:8" x14ac:dyDescent="0.25">
      <c r="A17">
        <v>8</v>
      </c>
      <c r="B17" t="s">
        <v>117</v>
      </c>
      <c r="C17" t="s">
        <v>119</v>
      </c>
      <c r="D17" s="3">
        <v>30</v>
      </c>
      <c r="E17" s="3">
        <v>250000</v>
      </c>
      <c r="F17" s="3"/>
      <c r="G17" s="3">
        <v>30</v>
      </c>
      <c r="H17" s="3">
        <f t="shared" ref="H17:H18" si="0">LOG10($E$19/E17)</f>
        <v>0.64345267648618742</v>
      </c>
    </row>
    <row r="18" spans="1:8" x14ac:dyDescent="0.25">
      <c r="A18">
        <v>9</v>
      </c>
      <c r="B18" t="s">
        <v>117</v>
      </c>
      <c r="C18" t="s">
        <v>120</v>
      </c>
      <c r="D18" s="3">
        <v>60</v>
      </c>
      <c r="E18" s="3">
        <v>8100</v>
      </c>
      <c r="F18" s="3"/>
      <c r="G18" s="3">
        <v>60</v>
      </c>
      <c r="H18" s="3">
        <f t="shared" si="0"/>
        <v>2.1329076662795754</v>
      </c>
    </row>
    <row r="19" spans="1:8" x14ac:dyDescent="0.25">
      <c r="A19">
        <v>10</v>
      </c>
      <c r="B19" t="s">
        <v>117</v>
      </c>
      <c r="C19" t="s">
        <v>35</v>
      </c>
      <c r="D19" s="3">
        <v>0</v>
      </c>
      <c r="E19" s="3">
        <v>1100000</v>
      </c>
      <c r="F19" s="3"/>
      <c r="G19" s="3">
        <v>0</v>
      </c>
      <c r="H19" s="3"/>
    </row>
    <row r="20" spans="1:8" x14ac:dyDescent="0.25">
      <c r="A20">
        <v>5</v>
      </c>
      <c r="E20" s="3"/>
      <c r="F20" s="3"/>
      <c r="G20" s="3"/>
      <c r="H20" s="3"/>
    </row>
    <row r="21" spans="1:8" x14ac:dyDescent="0.25">
      <c r="A21">
        <v>6</v>
      </c>
      <c r="E21" s="3"/>
      <c r="F21" s="3"/>
      <c r="G21" s="3"/>
      <c r="H21" s="3"/>
    </row>
    <row r="22" spans="1:8" x14ac:dyDescent="0.25">
      <c r="A22">
        <v>7</v>
      </c>
      <c r="E22" s="3"/>
      <c r="F22" s="3"/>
      <c r="G22" s="3"/>
      <c r="H22" s="3"/>
    </row>
    <row r="23" spans="1:8" x14ac:dyDescent="0.25">
      <c r="A23">
        <v>8</v>
      </c>
      <c r="E23" s="3"/>
      <c r="F23" s="3"/>
      <c r="G23" s="3"/>
      <c r="H23" s="3"/>
    </row>
  </sheetData>
  <pageMargins left="0.70866141732283472" right="0.70866141732283472" top="0.74803149606299213" bottom="0.74803149606299213" header="0.31496062992125984" footer="0.31496062992125984"/>
  <pageSetup paperSize="9" scale="7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workbookViewId="0"/>
  </sheetViews>
  <sheetFormatPr defaultRowHeight="15" x14ac:dyDescent="0.25"/>
  <cols>
    <col min="1" max="1" width="30" style="31" customWidth="1"/>
    <col min="2" max="16384" width="9.140625" style="31"/>
  </cols>
  <sheetData>
    <row r="1" spans="1:16" x14ac:dyDescent="0.25">
      <c r="A1" s="31" t="s">
        <v>300</v>
      </c>
    </row>
    <row r="3" spans="1:16" x14ac:dyDescent="0.25">
      <c r="B3" s="31" t="s">
        <v>137</v>
      </c>
      <c r="C3" s="31" t="s">
        <v>137</v>
      </c>
      <c r="D3" s="31" t="s">
        <v>137</v>
      </c>
      <c r="F3" s="31" t="s">
        <v>137</v>
      </c>
      <c r="G3" s="31" t="s">
        <v>137</v>
      </c>
      <c r="H3" s="31" t="s">
        <v>137</v>
      </c>
      <c r="J3" s="31" t="s">
        <v>138</v>
      </c>
      <c r="K3" s="31" t="s">
        <v>138</v>
      </c>
      <c r="L3" s="31" t="s">
        <v>138</v>
      </c>
      <c r="N3" s="31" t="s">
        <v>138</v>
      </c>
      <c r="O3" s="31" t="s">
        <v>138</v>
      </c>
      <c r="P3" s="31" t="s">
        <v>138</v>
      </c>
    </row>
    <row r="4" spans="1:16" x14ac:dyDescent="0.25">
      <c r="A4" s="31" t="s">
        <v>301</v>
      </c>
      <c r="B4" s="31" t="s">
        <v>2</v>
      </c>
      <c r="C4" s="31" t="s">
        <v>3</v>
      </c>
      <c r="D4" s="31" t="s">
        <v>4</v>
      </c>
      <c r="F4" s="31" t="s">
        <v>5</v>
      </c>
      <c r="G4" s="31" t="s">
        <v>6</v>
      </c>
      <c r="H4" s="31" t="s">
        <v>7</v>
      </c>
      <c r="J4" s="31" t="s">
        <v>2</v>
      </c>
      <c r="K4" s="31" t="s">
        <v>3</v>
      </c>
      <c r="L4" s="31" t="s">
        <v>4</v>
      </c>
      <c r="N4" s="31" t="s">
        <v>5</v>
      </c>
      <c r="O4" s="31" t="s">
        <v>6</v>
      </c>
      <c r="P4" s="31" t="s">
        <v>7</v>
      </c>
    </row>
    <row r="5" spans="1:16" x14ac:dyDescent="0.25">
      <c r="A5" s="31" t="s">
        <v>8</v>
      </c>
      <c r="B5" s="31">
        <v>600</v>
      </c>
      <c r="C5" s="31">
        <v>71000</v>
      </c>
      <c r="D5" s="31">
        <v>7</v>
      </c>
      <c r="F5" s="31">
        <v>140000</v>
      </c>
      <c r="G5" s="31">
        <v>4500</v>
      </c>
      <c r="H5" s="31">
        <v>42</v>
      </c>
      <c r="J5" s="31">
        <v>58000</v>
      </c>
      <c r="K5" s="31">
        <v>520000</v>
      </c>
      <c r="L5" s="31">
        <v>6</v>
      </c>
      <c r="N5" s="31">
        <v>140000</v>
      </c>
      <c r="O5" s="31">
        <v>800</v>
      </c>
      <c r="P5" s="31">
        <v>98</v>
      </c>
    </row>
    <row r="6" spans="1:16" x14ac:dyDescent="0.25">
      <c r="A6" s="31" t="s">
        <v>9</v>
      </c>
      <c r="B6" s="31">
        <v>1000</v>
      </c>
      <c r="C6" s="31">
        <v>71000</v>
      </c>
      <c r="D6" s="31">
        <v>29</v>
      </c>
      <c r="F6" s="31">
        <v>230000</v>
      </c>
      <c r="G6" s="31">
        <v>4500</v>
      </c>
      <c r="H6" s="31">
        <v>42</v>
      </c>
      <c r="J6" s="31">
        <v>97000</v>
      </c>
      <c r="K6" s="31">
        <v>520000</v>
      </c>
      <c r="L6" s="31">
        <v>15</v>
      </c>
      <c r="N6" s="31">
        <v>140000</v>
      </c>
      <c r="O6" s="31">
        <v>1000</v>
      </c>
      <c r="P6" s="31">
        <v>98</v>
      </c>
    </row>
    <row r="7" spans="1:16" x14ac:dyDescent="0.25">
      <c r="A7" s="31" t="s">
        <v>10</v>
      </c>
      <c r="B7" s="31">
        <v>130</v>
      </c>
      <c r="C7" s="31">
        <v>48000</v>
      </c>
      <c r="D7" s="31">
        <v>9</v>
      </c>
      <c r="F7" s="31">
        <v>10000</v>
      </c>
      <c r="G7" s="31">
        <v>350</v>
      </c>
      <c r="H7" s="31">
        <v>5</v>
      </c>
      <c r="J7" s="31">
        <v>1200</v>
      </c>
      <c r="K7" s="31">
        <v>23000</v>
      </c>
      <c r="L7" s="31">
        <v>0</v>
      </c>
      <c r="N7" s="31">
        <v>5600</v>
      </c>
      <c r="O7" s="31">
        <v>200</v>
      </c>
      <c r="P7" s="31">
        <v>25</v>
      </c>
    </row>
    <row r="8" spans="1:16" x14ac:dyDescent="0.25">
      <c r="A8" s="31" t="s">
        <v>68</v>
      </c>
      <c r="B8" s="31">
        <v>165</v>
      </c>
      <c r="C8" s="31">
        <v>30</v>
      </c>
      <c r="D8" s="31">
        <v>680</v>
      </c>
      <c r="F8" s="31">
        <v>95</v>
      </c>
      <c r="G8" s="31">
        <v>1</v>
      </c>
      <c r="H8" s="31" t="s">
        <v>69</v>
      </c>
    </row>
    <row r="9" spans="1:16" x14ac:dyDescent="0.25">
      <c r="A9" s="31" t="s">
        <v>11</v>
      </c>
      <c r="B9" s="31">
        <v>1972</v>
      </c>
      <c r="C9" s="31">
        <v>1550</v>
      </c>
      <c r="D9" s="31">
        <v>1745</v>
      </c>
      <c r="F9" s="31">
        <v>2030</v>
      </c>
      <c r="G9" s="31">
        <v>2030</v>
      </c>
      <c r="H9" s="31">
        <v>1754</v>
      </c>
    </row>
    <row r="10" spans="1:16" x14ac:dyDescent="0.25">
      <c r="A10" s="31" t="s">
        <v>12</v>
      </c>
      <c r="B10" s="31">
        <v>7.67</v>
      </c>
      <c r="C10" s="31">
        <v>7.28</v>
      </c>
      <c r="D10" s="31">
        <v>8.17</v>
      </c>
      <c r="F10" s="31">
        <v>7.49</v>
      </c>
      <c r="G10" s="31">
        <v>7.66</v>
      </c>
      <c r="H10" s="31">
        <v>7.88</v>
      </c>
    </row>
    <row r="11" spans="1:16" x14ac:dyDescent="0.25">
      <c r="A11" s="31" t="s">
        <v>13</v>
      </c>
      <c r="B11" s="31">
        <v>32.4</v>
      </c>
      <c r="C11" s="31">
        <v>8.49</v>
      </c>
      <c r="D11" s="31">
        <v>1.79</v>
      </c>
      <c r="F11" s="31">
        <v>39.6</v>
      </c>
      <c r="G11" s="31">
        <v>9.44</v>
      </c>
      <c r="H11" s="31">
        <v>9.82</v>
      </c>
    </row>
    <row r="12" spans="1:16" x14ac:dyDescent="0.25">
      <c r="A12" s="31" t="s">
        <v>18</v>
      </c>
      <c r="B12" s="31">
        <v>68.400000000000006</v>
      </c>
      <c r="C12" s="31">
        <v>67.8</v>
      </c>
      <c r="D12" s="31" t="s">
        <v>25</v>
      </c>
      <c r="F12" s="31">
        <v>68.8</v>
      </c>
      <c r="G12" s="31">
        <v>3.1179999999999999</v>
      </c>
      <c r="H12" s="31">
        <v>11.45</v>
      </c>
      <c r="J12" s="31">
        <v>60.76</v>
      </c>
      <c r="K12" s="31">
        <v>63.01</v>
      </c>
      <c r="L12" s="31">
        <v>0.19500000000000001</v>
      </c>
      <c r="N12" s="31">
        <v>61.4</v>
      </c>
      <c r="O12" s="31">
        <v>7.9269999999999996</v>
      </c>
      <c r="P12" s="31">
        <v>10.83</v>
      </c>
    </row>
    <row r="13" spans="1:16" x14ac:dyDescent="0.25">
      <c r="A13" s="31" t="s">
        <v>14</v>
      </c>
      <c r="B13" s="31">
        <v>3.2</v>
      </c>
      <c r="C13" s="31">
        <v>7.0000000000000001E-3</v>
      </c>
      <c r="D13" s="31">
        <v>21.7</v>
      </c>
      <c r="F13" s="31">
        <v>7.0000000000000001E-3</v>
      </c>
      <c r="G13" s="31">
        <v>13.1</v>
      </c>
      <c r="H13" s="31">
        <v>4.8</v>
      </c>
      <c r="J13" s="31">
        <v>0.01</v>
      </c>
      <c r="K13" s="31">
        <v>7.0000000000000001E-3</v>
      </c>
      <c r="L13" s="31">
        <v>20.9</v>
      </c>
      <c r="N13" s="31">
        <v>8.9999999999999993E-3</v>
      </c>
      <c r="O13" s="31">
        <v>5.76</v>
      </c>
      <c r="P13" s="31">
        <v>4.8899999999999997</v>
      </c>
    </row>
    <row r="14" spans="1:16" x14ac:dyDescent="0.25">
      <c r="A14" s="31" t="s">
        <v>24</v>
      </c>
      <c r="B14" s="31">
        <v>10.9</v>
      </c>
      <c r="C14" s="31">
        <v>10.9</v>
      </c>
      <c r="D14" s="31">
        <v>8.8800000000000008</v>
      </c>
      <c r="F14" s="31">
        <v>11.6</v>
      </c>
      <c r="G14" s="31">
        <v>8.0500000000000007</v>
      </c>
      <c r="H14" s="31">
        <v>8.91</v>
      </c>
      <c r="J14" s="31">
        <v>9.8699999999999992</v>
      </c>
      <c r="K14" s="31">
        <v>10.9</v>
      </c>
      <c r="L14" s="31">
        <v>8.36</v>
      </c>
      <c r="N14" s="31">
        <v>13.2</v>
      </c>
      <c r="O14" s="31">
        <v>3.14</v>
      </c>
      <c r="P14" s="31">
        <v>7.55</v>
      </c>
    </row>
    <row r="15" spans="1:16" x14ac:dyDescent="0.25">
      <c r="A15" s="31" t="s">
        <v>15</v>
      </c>
      <c r="B15" s="31">
        <v>69.400000000000006</v>
      </c>
      <c r="C15" s="31">
        <v>63.8</v>
      </c>
      <c r="D15" s="31">
        <v>1.59</v>
      </c>
      <c r="F15" s="31">
        <v>73.099999999999994</v>
      </c>
      <c r="G15" s="31">
        <v>4.68</v>
      </c>
      <c r="H15" s="31">
        <v>12.9</v>
      </c>
      <c r="J15" s="31">
        <v>65.7</v>
      </c>
      <c r="K15" s="31">
        <v>65.5</v>
      </c>
      <c r="L15" s="31">
        <v>1.73</v>
      </c>
      <c r="N15" s="31">
        <v>67.7</v>
      </c>
      <c r="O15" s="31">
        <v>9.94</v>
      </c>
      <c r="P15" s="31">
        <v>13.5</v>
      </c>
    </row>
    <row r="16" spans="1:16" x14ac:dyDescent="0.25">
      <c r="A16" s="31" t="s">
        <v>16</v>
      </c>
      <c r="B16" s="31">
        <v>15.3</v>
      </c>
      <c r="C16" s="31">
        <v>15.3</v>
      </c>
      <c r="D16" s="31">
        <v>8.9</v>
      </c>
      <c r="F16" s="31">
        <v>15.2</v>
      </c>
      <c r="G16" s="31">
        <v>10</v>
      </c>
      <c r="H16" s="31">
        <v>10.1</v>
      </c>
      <c r="J16" s="31">
        <v>18.100000000000001</v>
      </c>
      <c r="K16" s="31">
        <v>17.100000000000001</v>
      </c>
      <c r="L16" s="31">
        <v>8.4</v>
      </c>
      <c r="N16" s="31">
        <v>15.9</v>
      </c>
      <c r="O16" s="31">
        <v>8.9</v>
      </c>
      <c r="P16" s="31">
        <v>8.6999999999999993</v>
      </c>
    </row>
    <row r="17" spans="1:16" x14ac:dyDescent="0.25">
      <c r="A17" s="31" t="s">
        <v>17</v>
      </c>
      <c r="B17" s="31">
        <v>27.4</v>
      </c>
      <c r="C17" s="31">
        <v>21.2</v>
      </c>
      <c r="D17" s="31">
        <v>10.7</v>
      </c>
      <c r="F17" s="31">
        <v>44.9</v>
      </c>
      <c r="G17" s="31">
        <v>13.3</v>
      </c>
      <c r="H17" s="31">
        <v>14.5</v>
      </c>
      <c r="J17" s="31">
        <v>27.4</v>
      </c>
      <c r="K17" s="31">
        <v>29.5</v>
      </c>
      <c r="L17" s="31">
        <v>9.5</v>
      </c>
      <c r="N17" s="31">
        <v>41</v>
      </c>
      <c r="O17" s="31">
        <v>10.199999999999999</v>
      </c>
      <c r="P17" s="31">
        <v>10.6</v>
      </c>
    </row>
    <row r="18" spans="1:16" x14ac:dyDescent="0.25">
      <c r="A18" s="31" t="s">
        <v>19</v>
      </c>
      <c r="B18" s="31">
        <v>55</v>
      </c>
      <c r="C18" s="31">
        <v>14</v>
      </c>
      <c r="D18" s="31" t="s">
        <v>26</v>
      </c>
      <c r="F18" s="31">
        <v>41</v>
      </c>
      <c r="G18" s="31">
        <v>6</v>
      </c>
      <c r="H18" s="31">
        <v>17</v>
      </c>
      <c r="J18" s="31">
        <v>46</v>
      </c>
      <c r="K18" s="31">
        <v>24</v>
      </c>
      <c r="L18" s="31" t="s">
        <v>26</v>
      </c>
      <c r="N18" s="31">
        <v>29</v>
      </c>
      <c r="O18" s="31">
        <v>8</v>
      </c>
      <c r="P18" s="31">
        <v>6</v>
      </c>
    </row>
    <row r="19" spans="1:16" x14ac:dyDescent="0.25">
      <c r="A19" s="31" t="s">
        <v>20</v>
      </c>
      <c r="B19" s="31">
        <v>174</v>
      </c>
      <c r="C19" s="31">
        <v>104</v>
      </c>
      <c r="D19" s="31">
        <v>223</v>
      </c>
      <c r="F19" s="31">
        <v>225</v>
      </c>
      <c r="G19" s="31">
        <v>92</v>
      </c>
      <c r="H19" s="31">
        <v>131</v>
      </c>
      <c r="J19" s="31">
        <v>153</v>
      </c>
      <c r="K19" s="31">
        <v>127</v>
      </c>
      <c r="L19" s="31">
        <v>84</v>
      </c>
      <c r="N19" s="31">
        <v>159</v>
      </c>
      <c r="O19" s="31">
        <v>72</v>
      </c>
      <c r="P19" s="31">
        <v>90</v>
      </c>
    </row>
    <row r="20" spans="1:16" x14ac:dyDescent="0.25">
      <c r="A20" s="31" t="s">
        <v>11</v>
      </c>
      <c r="B20" s="31">
        <v>2060</v>
      </c>
      <c r="C20" s="31">
        <v>2150</v>
      </c>
      <c r="D20" s="31">
        <v>1860</v>
      </c>
      <c r="F20" s="31">
        <v>2140</v>
      </c>
      <c r="G20" s="31">
        <v>1700</v>
      </c>
      <c r="H20" s="31">
        <v>1900</v>
      </c>
      <c r="J20" s="31">
        <v>2020</v>
      </c>
      <c r="K20" s="31">
        <v>2170</v>
      </c>
      <c r="L20" s="31">
        <v>1700</v>
      </c>
      <c r="N20" s="31">
        <v>2060</v>
      </c>
      <c r="O20" s="31">
        <v>1690</v>
      </c>
      <c r="P20" s="31">
        <v>1730</v>
      </c>
    </row>
    <row r="21" spans="1:16" x14ac:dyDescent="0.25">
      <c r="A21" s="31" t="s">
        <v>21</v>
      </c>
      <c r="B21" s="31">
        <v>1100</v>
      </c>
      <c r="C21" s="31">
        <v>1200</v>
      </c>
      <c r="D21" s="31">
        <v>1000</v>
      </c>
      <c r="F21" s="31">
        <v>1200</v>
      </c>
      <c r="G21" s="31">
        <v>940</v>
      </c>
      <c r="H21" s="31">
        <v>1000</v>
      </c>
      <c r="J21" s="31">
        <v>1100</v>
      </c>
      <c r="K21" s="31">
        <v>1200</v>
      </c>
      <c r="L21" s="31">
        <v>940</v>
      </c>
      <c r="N21" s="31">
        <v>1100</v>
      </c>
      <c r="O21" s="31">
        <v>930</v>
      </c>
      <c r="P21" s="31">
        <v>950</v>
      </c>
    </row>
    <row r="22" spans="1:16" x14ac:dyDescent="0.25">
      <c r="A22" s="31" t="s">
        <v>22</v>
      </c>
      <c r="B22" s="31">
        <v>68</v>
      </c>
      <c r="C22" s="31">
        <v>12</v>
      </c>
      <c r="D22" s="31">
        <v>4</v>
      </c>
      <c r="F22" s="31">
        <v>50</v>
      </c>
      <c r="G22" s="31">
        <v>6</v>
      </c>
      <c r="H22" s="31">
        <v>17</v>
      </c>
    </row>
    <row r="23" spans="1:16" x14ac:dyDescent="0.25">
      <c r="A23" s="31" t="s">
        <v>23</v>
      </c>
      <c r="B23" s="31">
        <v>48</v>
      </c>
      <c r="C23" s="31">
        <v>11</v>
      </c>
      <c r="D23" s="31">
        <v>2</v>
      </c>
      <c r="F23" s="31">
        <v>42</v>
      </c>
      <c r="G23" s="31">
        <v>5</v>
      </c>
      <c r="H23" s="31">
        <v>11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zoomScaleNormal="100" workbookViewId="0"/>
  </sheetViews>
  <sheetFormatPr defaultRowHeight="15" x14ac:dyDescent="0.25"/>
  <cols>
    <col min="3" max="3" width="13.85546875" customWidth="1"/>
    <col min="5" max="5" width="10" customWidth="1"/>
    <col min="7" max="7" width="10.42578125" customWidth="1"/>
  </cols>
  <sheetData>
    <row r="1" spans="1:18" x14ac:dyDescent="0.25">
      <c r="A1" t="s">
        <v>0</v>
      </c>
      <c r="G1" s="1">
        <v>41802</v>
      </c>
    </row>
    <row r="2" spans="1:18" x14ac:dyDescent="0.25">
      <c r="A2" s="31" t="s">
        <v>335</v>
      </c>
      <c r="D2">
        <v>65</v>
      </c>
      <c r="K2" t="s">
        <v>208</v>
      </c>
    </row>
    <row r="3" spans="1:18" x14ac:dyDescent="0.25">
      <c r="A3" t="s">
        <v>1</v>
      </c>
      <c r="D3" t="s">
        <v>139</v>
      </c>
    </row>
    <row r="4" spans="1:18" x14ac:dyDescent="0.25">
      <c r="A4" t="s">
        <v>193</v>
      </c>
      <c r="K4" t="s">
        <v>37</v>
      </c>
      <c r="O4" t="s">
        <v>38</v>
      </c>
      <c r="R4" t="s">
        <v>39</v>
      </c>
    </row>
    <row r="5" spans="1:18" x14ac:dyDescent="0.25">
      <c r="R5" t="s">
        <v>40</v>
      </c>
    </row>
    <row r="6" spans="1:18" x14ac:dyDescent="0.25">
      <c r="A6" t="s">
        <v>27</v>
      </c>
      <c r="B6" t="s">
        <v>3</v>
      </c>
      <c r="C6" t="s">
        <v>28</v>
      </c>
      <c r="D6" t="s">
        <v>306</v>
      </c>
      <c r="E6" t="s">
        <v>304</v>
      </c>
      <c r="F6" t="s">
        <v>56</v>
      </c>
      <c r="I6" t="s">
        <v>160</v>
      </c>
      <c r="L6" t="s">
        <v>199</v>
      </c>
      <c r="N6" t="s">
        <v>194</v>
      </c>
    </row>
    <row r="7" spans="1:18" x14ac:dyDescent="0.25">
      <c r="A7">
        <v>11</v>
      </c>
      <c r="B7" t="s">
        <v>195</v>
      </c>
      <c r="C7" t="s">
        <v>119</v>
      </c>
      <c r="D7">
        <v>30</v>
      </c>
      <c r="E7" s="3">
        <v>65</v>
      </c>
      <c r="F7" t="s">
        <v>124</v>
      </c>
      <c r="I7">
        <v>240000</v>
      </c>
      <c r="N7" t="s">
        <v>42</v>
      </c>
    </row>
    <row r="8" spans="1:18" x14ac:dyDescent="0.25">
      <c r="A8">
        <v>12</v>
      </c>
      <c r="B8" t="s">
        <v>195</v>
      </c>
      <c r="C8" t="s">
        <v>140</v>
      </c>
      <c r="D8">
        <v>45</v>
      </c>
      <c r="E8" s="3">
        <v>65</v>
      </c>
      <c r="F8" t="s">
        <v>201</v>
      </c>
      <c r="I8">
        <v>28000</v>
      </c>
      <c r="N8" t="s">
        <v>192</v>
      </c>
    </row>
    <row r="9" spans="1:18" x14ac:dyDescent="0.25">
      <c r="A9">
        <v>13</v>
      </c>
      <c r="B9" t="s">
        <v>195</v>
      </c>
      <c r="C9" t="s">
        <v>120</v>
      </c>
      <c r="D9">
        <v>60</v>
      </c>
      <c r="E9" s="3">
        <v>65</v>
      </c>
      <c r="F9" t="s">
        <v>141</v>
      </c>
      <c r="I9">
        <v>24000</v>
      </c>
    </row>
    <row r="10" spans="1:18" x14ac:dyDescent="0.25">
      <c r="A10">
        <v>14</v>
      </c>
      <c r="B10" t="s">
        <v>195</v>
      </c>
      <c r="C10" t="s">
        <v>151</v>
      </c>
      <c r="D10">
        <v>5</v>
      </c>
      <c r="E10" s="3">
        <v>75</v>
      </c>
      <c r="F10" t="s">
        <v>202</v>
      </c>
      <c r="I10">
        <v>220000</v>
      </c>
    </row>
    <row r="11" spans="1:18" x14ac:dyDescent="0.25">
      <c r="A11">
        <v>15</v>
      </c>
      <c r="B11" t="s">
        <v>196</v>
      </c>
      <c r="C11" t="s">
        <v>119</v>
      </c>
      <c r="D11">
        <v>30</v>
      </c>
      <c r="E11" s="3">
        <v>65</v>
      </c>
      <c r="F11" t="s">
        <v>124</v>
      </c>
      <c r="I11">
        <v>450000</v>
      </c>
    </row>
    <row r="12" spans="1:18" x14ac:dyDescent="0.25">
      <c r="A12">
        <v>16</v>
      </c>
      <c r="B12" t="s">
        <v>196</v>
      </c>
      <c r="C12" t="s">
        <v>140</v>
      </c>
      <c r="D12">
        <v>45</v>
      </c>
      <c r="E12" s="3">
        <v>65</v>
      </c>
      <c r="F12" t="s">
        <v>201</v>
      </c>
      <c r="I12">
        <v>58000</v>
      </c>
    </row>
    <row r="13" spans="1:18" x14ac:dyDescent="0.25">
      <c r="A13">
        <v>17</v>
      </c>
      <c r="B13" t="s">
        <v>196</v>
      </c>
      <c r="C13" t="s">
        <v>120</v>
      </c>
      <c r="D13">
        <v>60</v>
      </c>
      <c r="E13" s="3">
        <v>65</v>
      </c>
      <c r="F13" t="s">
        <v>141</v>
      </c>
      <c r="I13">
        <v>4000</v>
      </c>
    </row>
    <row r="14" spans="1:18" x14ac:dyDescent="0.25">
      <c r="A14">
        <v>18</v>
      </c>
      <c r="B14" t="s">
        <v>196</v>
      </c>
      <c r="C14" t="s">
        <v>151</v>
      </c>
      <c r="D14">
        <v>5</v>
      </c>
      <c r="E14" s="3">
        <v>75</v>
      </c>
      <c r="F14" t="s">
        <v>202</v>
      </c>
      <c r="I14">
        <v>32000</v>
      </c>
    </row>
    <row r="15" spans="1:18" x14ac:dyDescent="0.25">
      <c r="A15">
        <v>19</v>
      </c>
      <c r="B15" t="s">
        <v>197</v>
      </c>
      <c r="C15" t="s">
        <v>119</v>
      </c>
      <c r="D15">
        <v>30</v>
      </c>
      <c r="E15" s="3">
        <v>65</v>
      </c>
      <c r="F15" t="s">
        <v>124</v>
      </c>
      <c r="I15">
        <v>310000</v>
      </c>
    </row>
    <row r="16" spans="1:18" x14ac:dyDescent="0.25">
      <c r="A16">
        <v>20</v>
      </c>
      <c r="B16" t="s">
        <v>197</v>
      </c>
      <c r="C16" t="s">
        <v>140</v>
      </c>
      <c r="D16">
        <v>45</v>
      </c>
      <c r="E16" s="3">
        <v>65</v>
      </c>
      <c r="F16" t="s">
        <v>201</v>
      </c>
      <c r="G16" s="3"/>
      <c r="H16" s="3"/>
      <c r="I16" s="3">
        <v>100000</v>
      </c>
    </row>
    <row r="17" spans="1:10" x14ac:dyDescent="0.25">
      <c r="A17">
        <v>21</v>
      </c>
      <c r="B17" t="s">
        <v>197</v>
      </c>
      <c r="C17" t="s">
        <v>120</v>
      </c>
      <c r="D17">
        <v>60</v>
      </c>
      <c r="E17" s="3">
        <v>65</v>
      </c>
      <c r="F17" t="s">
        <v>141</v>
      </c>
      <c r="G17" s="3"/>
      <c r="H17" s="3"/>
      <c r="I17" s="3">
        <v>14000</v>
      </c>
    </row>
    <row r="18" spans="1:10" x14ac:dyDescent="0.25">
      <c r="A18">
        <v>22</v>
      </c>
      <c r="B18" t="s">
        <v>197</v>
      </c>
      <c r="C18" t="s">
        <v>151</v>
      </c>
      <c r="D18">
        <v>5</v>
      </c>
      <c r="E18" s="3">
        <v>75</v>
      </c>
      <c r="F18" t="s">
        <v>202</v>
      </c>
      <c r="G18" s="3"/>
      <c r="H18" s="3"/>
      <c r="I18" s="3">
        <v>1700</v>
      </c>
    </row>
    <row r="19" spans="1:10" x14ac:dyDescent="0.25">
      <c r="A19">
        <v>23</v>
      </c>
      <c r="B19" t="s">
        <v>195</v>
      </c>
      <c r="C19" t="s">
        <v>35</v>
      </c>
      <c r="F19" t="s">
        <v>162</v>
      </c>
      <c r="G19" s="3"/>
      <c r="H19" s="3"/>
      <c r="I19" s="3">
        <v>1200000</v>
      </c>
      <c r="J19">
        <f>(AVERAGE(I19:I21))</f>
        <v>1366666.6666666667</v>
      </c>
    </row>
    <row r="20" spans="1:10" x14ac:dyDescent="0.25">
      <c r="A20">
        <v>24</v>
      </c>
      <c r="B20" t="s">
        <v>196</v>
      </c>
      <c r="C20" t="s">
        <v>35</v>
      </c>
      <c r="F20" t="s">
        <v>162</v>
      </c>
      <c r="G20" s="3"/>
      <c r="H20" s="3"/>
      <c r="I20" s="3">
        <v>1200000</v>
      </c>
    </row>
    <row r="21" spans="1:10" x14ac:dyDescent="0.25">
      <c r="A21">
        <v>25</v>
      </c>
      <c r="B21" t="s">
        <v>197</v>
      </c>
      <c r="C21" t="s">
        <v>35</v>
      </c>
      <c r="F21" t="s">
        <v>162</v>
      </c>
      <c r="G21" s="3"/>
      <c r="H21" s="3"/>
      <c r="I21" s="3">
        <v>1700000</v>
      </c>
    </row>
    <row r="22" spans="1:10" x14ac:dyDescent="0.25">
      <c r="A22">
        <v>26</v>
      </c>
      <c r="B22" t="s">
        <v>198</v>
      </c>
      <c r="F22" t="s">
        <v>163</v>
      </c>
      <c r="G22" s="3"/>
      <c r="H22" s="3"/>
      <c r="I22" s="3">
        <v>590</v>
      </c>
    </row>
    <row r="24" spans="1:10" x14ac:dyDescent="0.25">
      <c r="A24" t="s">
        <v>132</v>
      </c>
    </row>
    <row r="25" spans="1:10" x14ac:dyDescent="0.25">
      <c r="D25" t="s">
        <v>306</v>
      </c>
      <c r="E25" t="s">
        <v>304</v>
      </c>
      <c r="F25" t="s">
        <v>129</v>
      </c>
      <c r="I25" t="s">
        <v>342</v>
      </c>
      <c r="J25" t="s">
        <v>344</v>
      </c>
    </row>
    <row r="26" spans="1:10" x14ac:dyDescent="0.25">
      <c r="A26">
        <v>11</v>
      </c>
      <c r="B26" t="s">
        <v>195</v>
      </c>
      <c r="C26" t="s">
        <v>119</v>
      </c>
      <c r="D26" s="3">
        <v>30</v>
      </c>
      <c r="E26" s="3">
        <v>65</v>
      </c>
      <c r="F26" s="3">
        <f t="shared" ref="F26:F37" si="0">LOG10($J$19/I7)</f>
        <v>0.75545136028846704</v>
      </c>
      <c r="G26" s="3">
        <v>65</v>
      </c>
      <c r="H26" s="3">
        <v>30</v>
      </c>
      <c r="I26">
        <f>AVERAGE(F26,F30,F34)</f>
        <v>0.62740078555966561</v>
      </c>
      <c r="J26">
        <f>STDEV(F26,F30,F34)</f>
        <v>0.13728304427416158</v>
      </c>
    </row>
    <row r="27" spans="1:10" x14ac:dyDescent="0.25">
      <c r="A27">
        <v>12</v>
      </c>
      <c r="B27" t="s">
        <v>195</v>
      </c>
      <c r="C27" t="s">
        <v>140</v>
      </c>
      <c r="D27" s="3">
        <v>45</v>
      </c>
      <c r="E27" s="3">
        <v>65</v>
      </c>
      <c r="F27" s="3">
        <f t="shared" si="0"/>
        <v>1.6885045706578539</v>
      </c>
      <c r="G27" s="3">
        <v>65</v>
      </c>
      <c r="H27" s="3">
        <v>45</v>
      </c>
      <c r="I27">
        <f t="shared" ref="I27:I29" si="1">AVERAGE(F27,F31,F35)</f>
        <v>1.3988005936983541</v>
      </c>
      <c r="J27">
        <f t="shared" ref="J27:J29" si="2">STDEV(F27,F31,F35)</f>
        <v>0.27737677310299097</v>
      </c>
    </row>
    <row r="28" spans="1:10" x14ac:dyDescent="0.25">
      <c r="A28">
        <v>13</v>
      </c>
      <c r="B28" t="s">
        <v>195</v>
      </c>
      <c r="C28" t="s">
        <v>120</v>
      </c>
      <c r="D28" s="3">
        <v>60</v>
      </c>
      <c r="E28" s="3">
        <v>65</v>
      </c>
      <c r="F28" s="3">
        <f t="shared" si="0"/>
        <v>1.7554513602884672</v>
      </c>
      <c r="G28" s="3">
        <v>65</v>
      </c>
      <c r="H28" s="3">
        <v>60</v>
      </c>
      <c r="I28">
        <f t="shared" si="1"/>
        <v>2.0928628457608043</v>
      </c>
      <c r="J28">
        <f t="shared" si="2"/>
        <v>0.39923350575480254</v>
      </c>
    </row>
    <row r="29" spans="1:10" x14ac:dyDescent="0.25">
      <c r="A29">
        <v>14</v>
      </c>
      <c r="B29" t="s">
        <v>195</v>
      </c>
      <c r="C29" t="s">
        <v>151</v>
      </c>
      <c r="D29" s="3">
        <v>5</v>
      </c>
      <c r="E29" s="3">
        <v>75</v>
      </c>
      <c r="F29" s="3">
        <f t="shared" si="0"/>
        <v>0.7932399211778669</v>
      </c>
      <c r="G29" s="3">
        <v>75</v>
      </c>
      <c r="H29" s="3">
        <v>5</v>
      </c>
      <c r="I29">
        <f t="shared" si="1"/>
        <v>1.7763220751599444</v>
      </c>
      <c r="J29">
        <f t="shared" si="2"/>
        <v>1.0635100315702521</v>
      </c>
    </row>
    <row r="30" spans="1:10" x14ac:dyDescent="0.25">
      <c r="A30">
        <v>15</v>
      </c>
      <c r="B30" t="s">
        <v>196</v>
      </c>
      <c r="C30" t="s">
        <v>119</v>
      </c>
      <c r="D30" s="3">
        <v>30</v>
      </c>
      <c r="E30" s="3">
        <v>65</v>
      </c>
      <c r="F30" s="3">
        <f t="shared" si="0"/>
        <v>0.4824500882247294</v>
      </c>
      <c r="G30" s="3"/>
      <c r="H30" s="3"/>
    </row>
    <row r="31" spans="1:10" x14ac:dyDescent="0.25">
      <c r="A31">
        <v>16</v>
      </c>
      <c r="B31" t="s">
        <v>196</v>
      </c>
      <c r="C31" t="s">
        <v>140</v>
      </c>
      <c r="D31" s="3">
        <v>45</v>
      </c>
      <c r="E31" s="3">
        <v>65</v>
      </c>
      <c r="F31" s="3">
        <f t="shared" si="0"/>
        <v>1.3722346084371357</v>
      </c>
      <c r="G31" s="3"/>
      <c r="H31" s="3"/>
    </row>
    <row r="32" spans="1:10" x14ac:dyDescent="0.25">
      <c r="A32">
        <v>17</v>
      </c>
      <c r="B32" t="s">
        <v>196</v>
      </c>
      <c r="C32" t="s">
        <v>120</v>
      </c>
      <c r="D32" s="3">
        <v>60</v>
      </c>
      <c r="E32" s="3">
        <v>65</v>
      </c>
      <c r="F32" s="3">
        <f t="shared" si="0"/>
        <v>2.5336026106721108</v>
      </c>
      <c r="G32" s="3"/>
      <c r="H32" s="3"/>
    </row>
    <row r="33" spans="1:8" x14ac:dyDescent="0.25">
      <c r="A33">
        <v>18</v>
      </c>
      <c r="B33" t="s">
        <v>196</v>
      </c>
      <c r="C33" t="s">
        <v>151</v>
      </c>
      <c r="D33" s="3">
        <v>5</v>
      </c>
      <c r="E33" s="3">
        <v>75</v>
      </c>
      <c r="F33" s="3">
        <f t="shared" si="0"/>
        <v>1.630512623680167</v>
      </c>
      <c r="G33" s="3"/>
      <c r="H33" s="3"/>
    </row>
    <row r="34" spans="1:8" x14ac:dyDescent="0.25">
      <c r="A34">
        <v>19</v>
      </c>
      <c r="B34" t="s">
        <v>197</v>
      </c>
      <c r="C34" t="s">
        <v>119</v>
      </c>
      <c r="D34" s="3">
        <v>30</v>
      </c>
      <c r="E34" s="3">
        <v>65</v>
      </c>
      <c r="F34" s="3">
        <f t="shared" si="0"/>
        <v>0.64430090816580043</v>
      </c>
      <c r="G34" s="3"/>
    </row>
    <row r="35" spans="1:8" x14ac:dyDescent="0.25">
      <c r="A35">
        <v>20</v>
      </c>
      <c r="B35" t="s">
        <v>197</v>
      </c>
      <c r="C35" t="s">
        <v>140</v>
      </c>
      <c r="D35" s="3">
        <v>45</v>
      </c>
      <c r="E35" s="3">
        <v>65</v>
      </c>
      <c r="F35" s="3">
        <f t="shared" si="0"/>
        <v>1.1356626020000731</v>
      </c>
      <c r="G35" s="3"/>
    </row>
    <row r="36" spans="1:8" x14ac:dyDescent="0.25">
      <c r="A36">
        <v>21</v>
      </c>
      <c r="B36" t="s">
        <v>197</v>
      </c>
      <c r="C36" t="s">
        <v>120</v>
      </c>
      <c r="D36" s="3">
        <v>60</v>
      </c>
      <c r="E36" s="3">
        <v>65</v>
      </c>
      <c r="F36" s="3">
        <f t="shared" si="0"/>
        <v>1.9895345663218351</v>
      </c>
      <c r="G36" s="3"/>
    </row>
    <row r="37" spans="1:8" x14ac:dyDescent="0.25">
      <c r="A37">
        <v>22</v>
      </c>
      <c r="B37" t="s">
        <v>197</v>
      </c>
      <c r="C37" t="s">
        <v>151</v>
      </c>
      <c r="D37" s="3">
        <v>5</v>
      </c>
      <c r="E37" s="3">
        <v>75</v>
      </c>
      <c r="F37" s="3">
        <f t="shared" si="0"/>
        <v>2.9052136806217992</v>
      </c>
      <c r="G37" s="3"/>
    </row>
    <row r="38" spans="1:8" x14ac:dyDescent="0.25">
      <c r="E38" s="3"/>
    </row>
  </sheetData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zoomScaleNormal="100" workbookViewId="0"/>
  </sheetViews>
  <sheetFormatPr defaultRowHeight="15" x14ac:dyDescent="0.25"/>
  <cols>
    <col min="3" max="3" width="12.42578125" customWidth="1"/>
    <col min="5" max="5" width="10" customWidth="1"/>
    <col min="6" max="6" width="13.5703125" customWidth="1"/>
    <col min="7" max="7" width="10.42578125" customWidth="1"/>
  </cols>
  <sheetData>
    <row r="1" spans="1:18" x14ac:dyDescent="0.25">
      <c r="A1" t="s">
        <v>0</v>
      </c>
      <c r="G1" s="1">
        <v>41809</v>
      </c>
    </row>
    <row r="2" spans="1:18" x14ac:dyDescent="0.25">
      <c r="A2" s="31" t="s">
        <v>335</v>
      </c>
      <c r="D2">
        <v>75</v>
      </c>
      <c r="K2" t="s">
        <v>208</v>
      </c>
    </row>
    <row r="3" spans="1:18" x14ac:dyDescent="0.25">
      <c r="A3" t="s">
        <v>1</v>
      </c>
      <c r="D3" t="s">
        <v>203</v>
      </c>
    </row>
    <row r="4" spans="1:18" x14ac:dyDescent="0.25">
      <c r="A4" t="s">
        <v>193</v>
      </c>
      <c r="K4" t="s">
        <v>37</v>
      </c>
      <c r="O4" t="s">
        <v>38</v>
      </c>
      <c r="R4" t="s">
        <v>39</v>
      </c>
    </row>
    <row r="5" spans="1:18" x14ac:dyDescent="0.25">
      <c r="R5" t="s">
        <v>40</v>
      </c>
    </row>
    <row r="6" spans="1:18" x14ac:dyDescent="0.25">
      <c r="A6" t="s">
        <v>27</v>
      </c>
      <c r="B6" t="s">
        <v>3</v>
      </c>
      <c r="C6" t="s">
        <v>28</v>
      </c>
      <c r="E6" t="s">
        <v>56</v>
      </c>
      <c r="H6" t="s">
        <v>160</v>
      </c>
      <c r="K6" t="s">
        <v>199</v>
      </c>
      <c r="M6" t="s">
        <v>194</v>
      </c>
    </row>
    <row r="7" spans="1:18" x14ac:dyDescent="0.25">
      <c r="A7">
        <v>1</v>
      </c>
      <c r="B7" t="s">
        <v>195</v>
      </c>
      <c r="C7" t="s">
        <v>207</v>
      </c>
      <c r="E7" t="s">
        <v>210</v>
      </c>
      <c r="H7">
        <v>35</v>
      </c>
      <c r="M7" t="s">
        <v>42</v>
      </c>
    </row>
    <row r="8" spans="1:18" x14ac:dyDescent="0.25">
      <c r="A8">
        <v>2</v>
      </c>
      <c r="B8" t="s">
        <v>195</v>
      </c>
      <c r="C8" t="s">
        <v>204</v>
      </c>
      <c r="E8" t="s">
        <v>202</v>
      </c>
      <c r="H8">
        <v>0</v>
      </c>
      <c r="M8" t="s">
        <v>192</v>
      </c>
    </row>
    <row r="9" spans="1:18" x14ac:dyDescent="0.25">
      <c r="A9">
        <v>3</v>
      </c>
      <c r="B9" t="s">
        <v>195</v>
      </c>
      <c r="C9" t="s">
        <v>205</v>
      </c>
      <c r="E9" t="s">
        <v>211</v>
      </c>
      <c r="H9">
        <v>0</v>
      </c>
    </row>
    <row r="10" spans="1:18" x14ac:dyDescent="0.25">
      <c r="A10">
        <v>4</v>
      </c>
      <c r="B10" t="s">
        <v>195</v>
      </c>
      <c r="C10" t="s">
        <v>206</v>
      </c>
      <c r="E10" t="s">
        <v>212</v>
      </c>
      <c r="H10">
        <v>0</v>
      </c>
    </row>
    <row r="11" spans="1:18" x14ac:dyDescent="0.25">
      <c r="A11">
        <v>5</v>
      </c>
      <c r="B11" t="s">
        <v>196</v>
      </c>
      <c r="C11" t="s">
        <v>207</v>
      </c>
      <c r="E11" t="s">
        <v>210</v>
      </c>
      <c r="H11">
        <v>1300</v>
      </c>
    </row>
    <row r="12" spans="1:18" x14ac:dyDescent="0.25">
      <c r="A12">
        <v>6</v>
      </c>
      <c r="B12" t="s">
        <v>196</v>
      </c>
      <c r="C12" t="s">
        <v>204</v>
      </c>
      <c r="E12" t="s">
        <v>202</v>
      </c>
      <c r="H12">
        <v>0</v>
      </c>
    </row>
    <row r="13" spans="1:18" x14ac:dyDescent="0.25">
      <c r="A13">
        <v>7</v>
      </c>
      <c r="B13" t="s">
        <v>196</v>
      </c>
      <c r="C13" t="s">
        <v>205</v>
      </c>
      <c r="E13" t="s">
        <v>211</v>
      </c>
      <c r="H13">
        <v>0</v>
      </c>
    </row>
    <row r="14" spans="1:18" x14ac:dyDescent="0.25">
      <c r="A14">
        <v>8</v>
      </c>
      <c r="B14" t="s">
        <v>196</v>
      </c>
      <c r="C14" t="s">
        <v>206</v>
      </c>
      <c r="E14" t="s">
        <v>212</v>
      </c>
      <c r="H14">
        <v>0</v>
      </c>
    </row>
    <row r="15" spans="1:18" x14ac:dyDescent="0.25">
      <c r="A15">
        <v>9</v>
      </c>
      <c r="B15" t="s">
        <v>197</v>
      </c>
      <c r="C15" t="s">
        <v>207</v>
      </c>
      <c r="E15" t="s">
        <v>210</v>
      </c>
      <c r="H15">
        <v>3200</v>
      </c>
    </row>
    <row r="16" spans="1:18" x14ac:dyDescent="0.25">
      <c r="A16">
        <v>10</v>
      </c>
      <c r="B16" t="s">
        <v>197</v>
      </c>
      <c r="C16" t="s">
        <v>204</v>
      </c>
      <c r="E16" t="s">
        <v>202</v>
      </c>
      <c r="F16" s="3"/>
      <c r="G16" s="3"/>
      <c r="H16" s="3">
        <v>0</v>
      </c>
    </row>
    <row r="17" spans="1:10" x14ac:dyDescent="0.25">
      <c r="A17">
        <v>11</v>
      </c>
      <c r="B17" t="s">
        <v>197</v>
      </c>
      <c r="C17" t="s">
        <v>205</v>
      </c>
      <c r="E17" t="s">
        <v>211</v>
      </c>
      <c r="F17" s="3"/>
      <c r="G17" s="3"/>
      <c r="H17" s="3">
        <v>0</v>
      </c>
    </row>
    <row r="18" spans="1:10" x14ac:dyDescent="0.25">
      <c r="A18">
        <v>12</v>
      </c>
      <c r="B18" t="s">
        <v>197</v>
      </c>
      <c r="C18" t="s">
        <v>206</v>
      </c>
      <c r="E18" t="s">
        <v>212</v>
      </c>
      <c r="F18" s="3"/>
      <c r="G18" s="3"/>
      <c r="H18" s="3">
        <v>0</v>
      </c>
    </row>
    <row r="19" spans="1:10" x14ac:dyDescent="0.25">
      <c r="A19">
        <v>13</v>
      </c>
      <c r="B19" t="s">
        <v>195</v>
      </c>
      <c r="C19" t="s">
        <v>35</v>
      </c>
      <c r="E19" t="s">
        <v>162</v>
      </c>
      <c r="F19" s="3"/>
      <c r="G19" s="3"/>
      <c r="H19" s="3">
        <v>830000</v>
      </c>
      <c r="I19">
        <f>(AVERAGE(H19:H21))</f>
        <v>800000</v>
      </c>
    </row>
    <row r="20" spans="1:10" x14ac:dyDescent="0.25">
      <c r="A20">
        <v>14</v>
      </c>
      <c r="B20" t="s">
        <v>196</v>
      </c>
      <c r="C20" t="s">
        <v>35</v>
      </c>
      <c r="E20" t="s">
        <v>162</v>
      </c>
      <c r="F20" s="3"/>
      <c r="G20" s="3"/>
      <c r="H20" s="3">
        <v>750000</v>
      </c>
    </row>
    <row r="21" spans="1:10" x14ac:dyDescent="0.25">
      <c r="A21">
        <v>15</v>
      </c>
      <c r="B21" t="s">
        <v>197</v>
      </c>
      <c r="C21" t="s">
        <v>35</v>
      </c>
      <c r="E21" t="s">
        <v>162</v>
      </c>
      <c r="F21" s="3"/>
      <c r="G21" s="3"/>
      <c r="H21" s="3">
        <v>820000</v>
      </c>
    </row>
    <row r="22" spans="1:10" x14ac:dyDescent="0.25">
      <c r="A22">
        <v>16</v>
      </c>
      <c r="B22" t="s">
        <v>198</v>
      </c>
      <c r="E22" t="s">
        <v>209</v>
      </c>
      <c r="F22" s="3"/>
      <c r="G22" s="3"/>
      <c r="H22" s="3">
        <v>290</v>
      </c>
    </row>
    <row r="24" spans="1:10" x14ac:dyDescent="0.25">
      <c r="A24" t="s">
        <v>132</v>
      </c>
      <c r="F24" t="s">
        <v>215</v>
      </c>
      <c r="I24" t="s">
        <v>342</v>
      </c>
      <c r="J24" t="s">
        <v>344</v>
      </c>
    </row>
    <row r="25" spans="1:10" x14ac:dyDescent="0.25">
      <c r="E25" t="s">
        <v>343</v>
      </c>
      <c r="F25" t="s">
        <v>129</v>
      </c>
      <c r="G25" t="s">
        <v>345</v>
      </c>
      <c r="H25">
        <v>5</v>
      </c>
      <c r="I25">
        <v>1.7763220751599444</v>
      </c>
      <c r="J25">
        <v>1.0635100315702521</v>
      </c>
    </row>
    <row r="26" spans="1:10" x14ac:dyDescent="0.25">
      <c r="A26">
        <v>1</v>
      </c>
      <c r="B26" t="s">
        <v>195</v>
      </c>
      <c r="C26" t="s">
        <v>119</v>
      </c>
      <c r="E26" s="3">
        <v>15</v>
      </c>
      <c r="F26" s="3">
        <f>LOG10($I$19/H7)</f>
        <v>4.3590219426416681</v>
      </c>
      <c r="G26" s="3">
        <v>65</v>
      </c>
      <c r="H26" s="3">
        <v>15</v>
      </c>
      <c r="I26">
        <f>AVERAGE(F26,F30,F34)</f>
        <v>3.1820361953329375</v>
      </c>
      <c r="J26">
        <f>STDEV(F26,F30,F34)</f>
        <v>1.037897992620205</v>
      </c>
    </row>
    <row r="27" spans="1:10" x14ac:dyDescent="0.25">
      <c r="A27">
        <v>2</v>
      </c>
      <c r="B27" t="s">
        <v>195</v>
      </c>
      <c r="C27" t="s">
        <v>140</v>
      </c>
      <c r="E27" s="3">
        <v>30</v>
      </c>
      <c r="F27" s="2">
        <f>LOG10($I$19)</f>
        <v>5.9030899869919438</v>
      </c>
      <c r="G27" s="3">
        <v>65</v>
      </c>
      <c r="H27" s="3">
        <v>30</v>
      </c>
      <c r="I27">
        <f t="shared" ref="I27:I29" si="0">AVERAGE(F27,F31,F35)</f>
        <v>5.9030899869919438</v>
      </c>
      <c r="J27">
        <f t="shared" ref="J27:J29" si="1">STDEV(F27,F31,F35)</f>
        <v>0</v>
      </c>
    </row>
    <row r="28" spans="1:10" x14ac:dyDescent="0.25">
      <c r="A28">
        <v>3</v>
      </c>
      <c r="B28" t="s">
        <v>195</v>
      </c>
      <c r="C28" t="s">
        <v>120</v>
      </c>
      <c r="E28" s="3">
        <v>45</v>
      </c>
      <c r="F28" s="2">
        <f t="shared" ref="F28:F37" si="2">LOG10($I$19)</f>
        <v>5.9030899869919438</v>
      </c>
      <c r="G28" s="3">
        <v>65</v>
      </c>
      <c r="H28" s="3">
        <v>45</v>
      </c>
      <c r="I28">
        <f t="shared" si="0"/>
        <v>5.9030899869919438</v>
      </c>
      <c r="J28">
        <f t="shared" si="1"/>
        <v>0</v>
      </c>
    </row>
    <row r="29" spans="1:10" x14ac:dyDescent="0.25">
      <c r="A29">
        <v>4</v>
      </c>
      <c r="B29" t="s">
        <v>195</v>
      </c>
      <c r="C29" t="s">
        <v>151</v>
      </c>
      <c r="E29" s="3">
        <v>60</v>
      </c>
      <c r="F29" s="2">
        <f t="shared" si="2"/>
        <v>5.9030899869919438</v>
      </c>
      <c r="G29" s="3">
        <v>75</v>
      </c>
      <c r="H29" s="3">
        <v>60</v>
      </c>
      <c r="I29">
        <f t="shared" si="0"/>
        <v>5.9030899869919438</v>
      </c>
      <c r="J29">
        <f t="shared" si="1"/>
        <v>0</v>
      </c>
    </row>
    <row r="30" spans="1:10" x14ac:dyDescent="0.25">
      <c r="A30">
        <v>5</v>
      </c>
      <c r="B30" t="s">
        <v>196</v>
      </c>
      <c r="C30" t="s">
        <v>119</v>
      </c>
      <c r="E30" s="3">
        <v>15</v>
      </c>
      <c r="F30" s="3">
        <f t="shared" ref="F30:F34" si="3">LOG10($I$19/H11)</f>
        <v>2.7891466346851068</v>
      </c>
      <c r="G30" s="3"/>
      <c r="H30" s="3"/>
    </row>
    <row r="31" spans="1:10" x14ac:dyDescent="0.25">
      <c r="A31">
        <v>6</v>
      </c>
      <c r="B31" t="s">
        <v>196</v>
      </c>
      <c r="C31" t="s">
        <v>140</v>
      </c>
      <c r="E31" s="3">
        <v>30</v>
      </c>
      <c r="F31" s="2">
        <f t="shared" si="2"/>
        <v>5.9030899869919438</v>
      </c>
      <c r="G31" s="3"/>
      <c r="H31" s="3"/>
    </row>
    <row r="32" spans="1:10" x14ac:dyDescent="0.25">
      <c r="A32">
        <v>7</v>
      </c>
      <c r="B32" t="s">
        <v>196</v>
      </c>
      <c r="C32" t="s">
        <v>120</v>
      </c>
      <c r="E32" s="3">
        <v>45</v>
      </c>
      <c r="F32" s="2">
        <f t="shared" si="2"/>
        <v>5.9030899869919438</v>
      </c>
      <c r="G32" s="3"/>
      <c r="H32" s="3"/>
    </row>
    <row r="33" spans="1:8" x14ac:dyDescent="0.25">
      <c r="A33">
        <v>8</v>
      </c>
      <c r="B33" t="s">
        <v>196</v>
      </c>
      <c r="C33" t="s">
        <v>151</v>
      </c>
      <c r="E33" s="3">
        <v>60</v>
      </c>
      <c r="F33" s="2">
        <f t="shared" si="2"/>
        <v>5.9030899869919438</v>
      </c>
      <c r="G33" s="3"/>
      <c r="H33" s="3"/>
    </row>
    <row r="34" spans="1:8" x14ac:dyDescent="0.25">
      <c r="A34">
        <v>9</v>
      </c>
      <c r="B34" t="s">
        <v>197</v>
      </c>
      <c r="C34" t="s">
        <v>119</v>
      </c>
      <c r="E34" s="3">
        <v>15</v>
      </c>
      <c r="F34" s="3">
        <f t="shared" si="3"/>
        <v>2.3979400086720375</v>
      </c>
      <c r="G34" s="3"/>
    </row>
    <row r="35" spans="1:8" x14ac:dyDescent="0.25">
      <c r="A35">
        <v>10</v>
      </c>
      <c r="B35" t="s">
        <v>197</v>
      </c>
      <c r="C35" t="s">
        <v>140</v>
      </c>
      <c r="E35" s="3">
        <v>30</v>
      </c>
      <c r="F35" s="2">
        <f t="shared" si="2"/>
        <v>5.9030899869919438</v>
      </c>
      <c r="G35" s="3"/>
    </row>
    <row r="36" spans="1:8" x14ac:dyDescent="0.25">
      <c r="A36">
        <v>11</v>
      </c>
      <c r="B36" t="s">
        <v>197</v>
      </c>
      <c r="C36" t="s">
        <v>120</v>
      </c>
      <c r="E36" s="3">
        <v>45</v>
      </c>
      <c r="F36" s="2">
        <f t="shared" si="2"/>
        <v>5.9030899869919438</v>
      </c>
      <c r="G36" s="3"/>
    </row>
    <row r="37" spans="1:8" x14ac:dyDescent="0.25">
      <c r="A37">
        <v>12</v>
      </c>
      <c r="B37" t="s">
        <v>197</v>
      </c>
      <c r="C37" t="s">
        <v>151</v>
      </c>
      <c r="E37" s="3">
        <v>60</v>
      </c>
      <c r="F37" s="2">
        <f t="shared" si="2"/>
        <v>5.9030899869919438</v>
      </c>
      <c r="G37" s="3"/>
    </row>
    <row r="38" spans="1:8" x14ac:dyDescent="0.25">
      <c r="E38" s="3"/>
    </row>
  </sheetData>
  <pageMargins left="0.70866141732283472" right="0.70866141732283472" top="0.74803149606299213" bottom="0.74803149606299213" header="0.31496062992125984" footer="0.31496062992125984"/>
  <pageSetup paperSize="9" scale="67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zoomScaleNormal="100" workbookViewId="0"/>
  </sheetViews>
  <sheetFormatPr defaultRowHeight="15" x14ac:dyDescent="0.25"/>
  <cols>
    <col min="5" max="5" width="10" customWidth="1"/>
    <col min="7" max="7" width="10.42578125" customWidth="1"/>
    <col min="11" max="11" width="10" bestFit="1" customWidth="1"/>
    <col min="22" max="22" width="10" bestFit="1" customWidth="1"/>
    <col min="23" max="23" width="11" bestFit="1" customWidth="1"/>
  </cols>
  <sheetData>
    <row r="1" spans="1:17" x14ac:dyDescent="0.25">
      <c r="A1" t="s">
        <v>0</v>
      </c>
      <c r="G1" s="1">
        <v>41807</v>
      </c>
    </row>
    <row r="2" spans="1:17" x14ac:dyDescent="0.25">
      <c r="A2" s="31" t="s">
        <v>335</v>
      </c>
      <c r="D2" t="s">
        <v>216</v>
      </c>
      <c r="K2" t="s">
        <v>218</v>
      </c>
      <c r="O2" t="s">
        <v>219</v>
      </c>
    </row>
    <row r="3" spans="1:17" x14ac:dyDescent="0.25">
      <c r="A3" t="s">
        <v>1</v>
      </c>
      <c r="D3" t="s">
        <v>217</v>
      </c>
      <c r="O3" s="4">
        <f>126.45/1000*850000000/3.6</f>
        <v>29856250</v>
      </c>
    </row>
    <row r="4" spans="1:17" x14ac:dyDescent="0.25">
      <c r="A4" t="s">
        <v>193</v>
      </c>
      <c r="K4" t="s">
        <v>37</v>
      </c>
      <c r="O4" t="s">
        <v>229</v>
      </c>
    </row>
    <row r="6" spans="1:17" x14ac:dyDescent="0.25">
      <c r="A6" t="s">
        <v>27</v>
      </c>
      <c r="B6" t="s">
        <v>3</v>
      </c>
      <c r="C6" t="s">
        <v>28</v>
      </c>
      <c r="E6" t="s">
        <v>56</v>
      </c>
      <c r="H6" t="s">
        <v>160</v>
      </c>
      <c r="K6" t="s">
        <v>199</v>
      </c>
    </row>
    <row r="7" spans="1:17" x14ac:dyDescent="0.25">
      <c r="A7">
        <v>1</v>
      </c>
      <c r="H7">
        <v>0</v>
      </c>
      <c r="M7" t="s">
        <v>42</v>
      </c>
    </row>
    <row r="8" spans="1:17" x14ac:dyDescent="0.25">
      <c r="A8">
        <v>2</v>
      </c>
      <c r="H8">
        <v>0</v>
      </c>
      <c r="L8" t="s">
        <v>224</v>
      </c>
      <c r="P8" s="4"/>
    </row>
    <row r="9" spans="1:17" x14ac:dyDescent="0.25">
      <c r="A9">
        <v>3</v>
      </c>
      <c r="H9">
        <v>0</v>
      </c>
      <c r="L9" t="s">
        <v>225</v>
      </c>
    </row>
    <row r="10" spans="1:17" x14ac:dyDescent="0.25">
      <c r="A10">
        <v>4</v>
      </c>
      <c r="H10">
        <v>0</v>
      </c>
      <c r="L10" t="s">
        <v>220</v>
      </c>
      <c r="N10" t="s">
        <v>226</v>
      </c>
      <c r="P10" s="4">
        <f>P11/10</f>
        <v>1492812.5</v>
      </c>
      <c r="Q10" t="s">
        <v>227</v>
      </c>
    </row>
    <row r="11" spans="1:17" x14ac:dyDescent="0.25">
      <c r="A11">
        <v>5</v>
      </c>
      <c r="H11">
        <v>0</v>
      </c>
      <c r="P11" s="4">
        <f>O3/2</f>
        <v>14928125</v>
      </c>
      <c r="Q11" t="s">
        <v>228</v>
      </c>
    </row>
    <row r="12" spans="1:17" x14ac:dyDescent="0.25">
      <c r="A12">
        <v>6</v>
      </c>
      <c r="H12">
        <v>0</v>
      </c>
    </row>
    <row r="13" spans="1:17" x14ac:dyDescent="0.25">
      <c r="A13">
        <v>7</v>
      </c>
      <c r="H13">
        <f>5000000*10</f>
        <v>50000000</v>
      </c>
    </row>
    <row r="14" spans="1:17" x14ac:dyDescent="0.25">
      <c r="A14">
        <v>8</v>
      </c>
      <c r="H14">
        <f>30000*10</f>
        <v>300000</v>
      </c>
    </row>
    <row r="15" spans="1:17" x14ac:dyDescent="0.25">
      <c r="A15">
        <v>9</v>
      </c>
      <c r="H15">
        <f>0</f>
        <v>0</v>
      </c>
    </row>
    <row r="16" spans="1:17" x14ac:dyDescent="0.25">
      <c r="A16">
        <v>13</v>
      </c>
      <c r="E16" t="s">
        <v>230</v>
      </c>
      <c r="F16" s="3"/>
      <c r="G16" s="3"/>
      <c r="H16" s="3">
        <f>39*100000*10</f>
        <v>39000000</v>
      </c>
      <c r="I16">
        <f>(AVERAGE(H16:H18))</f>
        <v>41666666.666666664</v>
      </c>
    </row>
    <row r="17" spans="1:9" x14ac:dyDescent="0.25">
      <c r="A17">
        <v>14</v>
      </c>
      <c r="E17" t="s">
        <v>230</v>
      </c>
      <c r="F17" s="3"/>
      <c r="G17" s="3"/>
      <c r="H17" s="3">
        <f>38*100000*10</f>
        <v>38000000</v>
      </c>
    </row>
    <row r="18" spans="1:9" x14ac:dyDescent="0.25">
      <c r="A18">
        <v>15</v>
      </c>
      <c r="E18" t="s">
        <v>230</v>
      </c>
      <c r="F18" s="3"/>
      <c r="G18" s="3"/>
      <c r="H18" s="3">
        <f>48*100000*10</f>
        <v>48000000</v>
      </c>
    </row>
    <row r="20" spans="1:9" x14ac:dyDescent="0.25">
      <c r="A20" t="s">
        <v>132</v>
      </c>
      <c r="F20" s="2" t="s">
        <v>215</v>
      </c>
    </row>
    <row r="21" spans="1:9" x14ac:dyDescent="0.25">
      <c r="E21" t="s">
        <v>306</v>
      </c>
      <c r="F21" t="s">
        <v>304</v>
      </c>
      <c r="G21" t="s">
        <v>129</v>
      </c>
    </row>
    <row r="22" spans="1:9" x14ac:dyDescent="0.25">
      <c r="A22">
        <v>1</v>
      </c>
      <c r="C22" t="s">
        <v>221</v>
      </c>
      <c r="E22" s="3">
        <v>1</v>
      </c>
      <c r="F22" s="3">
        <v>75</v>
      </c>
      <c r="G22" s="2">
        <f>LOG10($I$16)</f>
        <v>7.6197887582883936</v>
      </c>
    </row>
    <row r="23" spans="1:9" x14ac:dyDescent="0.25">
      <c r="A23">
        <v>2</v>
      </c>
      <c r="C23" t="s">
        <v>204</v>
      </c>
      <c r="E23" s="3">
        <v>30</v>
      </c>
      <c r="F23" s="3">
        <v>75</v>
      </c>
      <c r="G23" s="2">
        <f t="shared" ref="G23:G27" si="0">LOG10($I$16)</f>
        <v>7.6197887582883936</v>
      </c>
    </row>
    <row r="24" spans="1:9" x14ac:dyDescent="0.25">
      <c r="A24">
        <v>3</v>
      </c>
      <c r="C24" t="s">
        <v>206</v>
      </c>
      <c r="E24" s="3">
        <v>60</v>
      </c>
      <c r="F24" s="3">
        <v>75</v>
      </c>
      <c r="G24" s="2">
        <f t="shared" si="0"/>
        <v>7.6197887582883936</v>
      </c>
    </row>
    <row r="25" spans="1:9" x14ac:dyDescent="0.25">
      <c r="A25">
        <v>4</v>
      </c>
      <c r="C25" t="s">
        <v>161</v>
      </c>
      <c r="E25" s="3">
        <v>1</v>
      </c>
      <c r="F25" s="3">
        <v>65</v>
      </c>
      <c r="G25" s="2">
        <f t="shared" si="0"/>
        <v>7.6197887582883936</v>
      </c>
    </row>
    <row r="26" spans="1:9" x14ac:dyDescent="0.25">
      <c r="A26">
        <v>5</v>
      </c>
      <c r="C26" t="s">
        <v>119</v>
      </c>
      <c r="E26" s="3">
        <v>30</v>
      </c>
      <c r="F26" s="3">
        <v>65</v>
      </c>
      <c r="G26" s="2">
        <f t="shared" si="0"/>
        <v>7.6197887582883936</v>
      </c>
      <c r="H26" s="3"/>
      <c r="I26" s="3"/>
    </row>
    <row r="27" spans="1:9" x14ac:dyDescent="0.25">
      <c r="A27">
        <v>6</v>
      </c>
      <c r="C27" t="s">
        <v>120</v>
      </c>
      <c r="E27" s="3">
        <v>60</v>
      </c>
      <c r="F27" s="3">
        <v>65</v>
      </c>
      <c r="G27" s="2">
        <f t="shared" si="0"/>
        <v>7.6197887582883936</v>
      </c>
      <c r="H27" s="3"/>
      <c r="I27" s="3"/>
    </row>
    <row r="28" spans="1:9" x14ac:dyDescent="0.25">
      <c r="A28">
        <v>7</v>
      </c>
      <c r="C28" t="s">
        <v>222</v>
      </c>
      <c r="E28" s="3">
        <v>1</v>
      </c>
      <c r="F28" s="3">
        <v>55</v>
      </c>
      <c r="G28" s="3">
        <f>LOG10($I$16/H13)</f>
        <v>-7.9181246047624873E-2</v>
      </c>
      <c r="H28" s="3"/>
      <c r="I28" s="3"/>
    </row>
    <row r="29" spans="1:9" x14ac:dyDescent="0.25">
      <c r="A29">
        <v>8</v>
      </c>
      <c r="C29" t="s">
        <v>99</v>
      </c>
      <c r="E29" s="3">
        <v>30</v>
      </c>
      <c r="F29" s="3">
        <v>55</v>
      </c>
      <c r="G29" s="3">
        <f t="shared" ref="G29" si="1">LOG10($I$16/H14)</f>
        <v>2.1426675035687315</v>
      </c>
      <c r="H29" s="3"/>
      <c r="I29" s="3"/>
    </row>
    <row r="30" spans="1:9" x14ac:dyDescent="0.25">
      <c r="A30">
        <v>9</v>
      </c>
      <c r="C30" t="s">
        <v>223</v>
      </c>
      <c r="E30" s="3">
        <v>60</v>
      </c>
      <c r="F30" s="3">
        <v>55</v>
      </c>
      <c r="G30" s="2">
        <f>LOG10($I$16)</f>
        <v>7.6197887582883936</v>
      </c>
      <c r="H30" s="3"/>
    </row>
    <row r="31" spans="1:9" x14ac:dyDescent="0.25">
      <c r="E31" s="3"/>
    </row>
  </sheetData>
  <pageMargins left="0.70866141732283472" right="0.70866141732283472" top="0.74803149606299213" bottom="0.74803149606299213" header="0.31496062992125984" footer="0.31496062992125984"/>
  <pageSetup paperSize="9" scale="67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workbookViewId="0"/>
  </sheetViews>
  <sheetFormatPr defaultRowHeight="15" x14ac:dyDescent="0.25"/>
  <cols>
    <col min="6" max="6" width="11.140625" customWidth="1"/>
    <col min="7" max="7" width="9.7109375" bestFit="1" customWidth="1"/>
  </cols>
  <sheetData>
    <row r="1" spans="1:17" x14ac:dyDescent="0.25">
      <c r="A1" t="s">
        <v>0</v>
      </c>
      <c r="G1" s="1">
        <v>41828</v>
      </c>
    </row>
    <row r="2" spans="1:17" x14ac:dyDescent="0.25">
      <c r="A2" s="31" t="s">
        <v>335</v>
      </c>
      <c r="D2">
        <v>55</v>
      </c>
      <c r="K2" t="s">
        <v>218</v>
      </c>
      <c r="O2" t="s">
        <v>219</v>
      </c>
    </row>
    <row r="3" spans="1:17" x14ac:dyDescent="0.25">
      <c r="A3" t="s">
        <v>1</v>
      </c>
      <c r="D3" t="s">
        <v>233</v>
      </c>
      <c r="O3" s="4">
        <f>126.45/1000*850000000/3.6</f>
        <v>29856250</v>
      </c>
    </row>
    <row r="4" spans="1:17" x14ac:dyDescent="0.25">
      <c r="A4" t="s">
        <v>234</v>
      </c>
      <c r="K4" t="s">
        <v>37</v>
      </c>
      <c r="O4" t="s">
        <v>229</v>
      </c>
    </row>
    <row r="6" spans="1:17" x14ac:dyDescent="0.25">
      <c r="E6" s="3"/>
      <c r="K6" t="s">
        <v>199</v>
      </c>
    </row>
    <row r="7" spans="1:17" x14ac:dyDescent="0.25">
      <c r="M7" t="s">
        <v>42</v>
      </c>
    </row>
    <row r="8" spans="1:17" x14ac:dyDescent="0.25">
      <c r="L8" t="s">
        <v>224</v>
      </c>
      <c r="P8" s="4"/>
    </row>
    <row r="9" spans="1:17" x14ac:dyDescent="0.25">
      <c r="L9" t="s">
        <v>225</v>
      </c>
    </row>
    <row r="10" spans="1:17" x14ac:dyDescent="0.25">
      <c r="L10" t="s">
        <v>220</v>
      </c>
      <c r="N10" t="s">
        <v>226</v>
      </c>
      <c r="P10" s="4">
        <f>P11/10</f>
        <v>1492812.5</v>
      </c>
      <c r="Q10" t="s">
        <v>227</v>
      </c>
    </row>
    <row r="11" spans="1:17" x14ac:dyDescent="0.25">
      <c r="P11" s="4">
        <f>O3/2</f>
        <v>14928125</v>
      </c>
      <c r="Q11" t="s">
        <v>228</v>
      </c>
    </row>
    <row r="14" spans="1:17" x14ac:dyDescent="0.25">
      <c r="B14" s="11" t="s">
        <v>242</v>
      </c>
      <c r="C14" t="s">
        <v>236</v>
      </c>
      <c r="D14" t="s">
        <v>237</v>
      </c>
      <c r="E14" t="s">
        <v>238</v>
      </c>
      <c r="F14" t="s">
        <v>236</v>
      </c>
      <c r="G14" t="s">
        <v>237</v>
      </c>
      <c r="H14" t="s">
        <v>238</v>
      </c>
      <c r="I14" t="s">
        <v>236</v>
      </c>
      <c r="J14" t="s">
        <v>237</v>
      </c>
      <c r="K14" t="s">
        <v>238</v>
      </c>
    </row>
    <row r="15" spans="1:17" ht="17.25" x14ac:dyDescent="0.25">
      <c r="A15" t="s">
        <v>244</v>
      </c>
      <c r="B15">
        <v>-4</v>
      </c>
      <c r="C15">
        <v>85</v>
      </c>
      <c r="D15" t="s">
        <v>247</v>
      </c>
      <c r="E15" t="s">
        <v>247</v>
      </c>
      <c r="F15" t="s">
        <v>247</v>
      </c>
      <c r="G15" t="s">
        <v>247</v>
      </c>
      <c r="H15" t="s">
        <v>247</v>
      </c>
      <c r="I15" t="s">
        <v>247</v>
      </c>
      <c r="J15" t="s">
        <v>247</v>
      </c>
      <c r="K15" t="s">
        <v>247</v>
      </c>
    </row>
    <row r="16" spans="1:17" x14ac:dyDescent="0.25">
      <c r="B16">
        <v>-5</v>
      </c>
      <c r="C16">
        <v>12</v>
      </c>
      <c r="D16">
        <v>12</v>
      </c>
      <c r="E16">
        <v>9</v>
      </c>
      <c r="F16">
        <v>7</v>
      </c>
      <c r="G16">
        <v>27</v>
      </c>
      <c r="H16">
        <v>22</v>
      </c>
      <c r="I16">
        <v>28</v>
      </c>
      <c r="J16">
        <v>22</v>
      </c>
      <c r="K16">
        <v>12</v>
      </c>
    </row>
    <row r="18" spans="1:14" ht="17.25" x14ac:dyDescent="0.25">
      <c r="A18" t="s">
        <v>245</v>
      </c>
      <c r="B18">
        <v>-3</v>
      </c>
      <c r="C18">
        <v>8</v>
      </c>
      <c r="D18">
        <v>35</v>
      </c>
      <c r="E18">
        <v>31</v>
      </c>
      <c r="F18">
        <v>15</v>
      </c>
      <c r="G18">
        <v>15</v>
      </c>
      <c r="H18">
        <v>7</v>
      </c>
      <c r="I18">
        <v>18</v>
      </c>
      <c r="J18">
        <v>24</v>
      </c>
      <c r="K18">
        <v>34</v>
      </c>
    </row>
    <row r="19" spans="1:14" x14ac:dyDescent="0.25">
      <c r="B19">
        <v>-4</v>
      </c>
      <c r="C19">
        <v>0</v>
      </c>
      <c r="D19">
        <v>2</v>
      </c>
      <c r="E19">
        <v>3</v>
      </c>
      <c r="F19">
        <v>0</v>
      </c>
      <c r="G19">
        <v>0</v>
      </c>
      <c r="H19">
        <v>0</v>
      </c>
      <c r="I19">
        <v>0</v>
      </c>
      <c r="J19">
        <v>2</v>
      </c>
      <c r="K19">
        <v>1</v>
      </c>
    </row>
    <row r="21" spans="1:14" ht="17.25" x14ac:dyDescent="0.25">
      <c r="A21" t="s">
        <v>246</v>
      </c>
      <c r="B21" t="s">
        <v>60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</row>
    <row r="23" spans="1:14" x14ac:dyDescent="0.25">
      <c r="A23">
        <v>0</v>
      </c>
      <c r="B23">
        <v>-5</v>
      </c>
      <c r="C23">
        <v>28</v>
      </c>
      <c r="D23">
        <v>29</v>
      </c>
      <c r="E23">
        <v>26</v>
      </c>
      <c r="F23">
        <v>38</v>
      </c>
      <c r="G23">
        <v>26</v>
      </c>
      <c r="H23">
        <v>28</v>
      </c>
      <c r="I23">
        <v>29</v>
      </c>
      <c r="J23">
        <v>31</v>
      </c>
      <c r="K23">
        <v>27</v>
      </c>
    </row>
    <row r="24" spans="1:14" x14ac:dyDescent="0.25">
      <c r="B24">
        <v>-6</v>
      </c>
      <c r="C24">
        <v>2</v>
      </c>
      <c r="D24">
        <v>3</v>
      </c>
      <c r="E24">
        <v>5</v>
      </c>
    </row>
    <row r="27" spans="1:14" x14ac:dyDescent="0.25">
      <c r="A27" s="9"/>
      <c r="B27" s="41" t="s">
        <v>239</v>
      </c>
      <c r="C27" s="40"/>
      <c r="D27" s="40"/>
      <c r="E27" s="40"/>
      <c r="F27" s="40" t="s">
        <v>240</v>
      </c>
      <c r="G27" s="40"/>
      <c r="H27" s="40"/>
      <c r="I27" s="40"/>
      <c r="J27" s="41" t="s">
        <v>241</v>
      </c>
      <c r="K27" s="40"/>
      <c r="L27" s="40"/>
      <c r="M27" s="40"/>
      <c r="N27" s="24"/>
    </row>
    <row r="28" spans="1:14" x14ac:dyDescent="0.25">
      <c r="A28" s="9" t="s">
        <v>235</v>
      </c>
      <c r="B28" s="9" t="s">
        <v>236</v>
      </c>
      <c r="C28" s="9" t="s">
        <v>237</v>
      </c>
      <c r="D28" s="9" t="s">
        <v>238</v>
      </c>
      <c r="E28" s="9" t="s">
        <v>243</v>
      </c>
      <c r="F28" s="9" t="s">
        <v>236</v>
      </c>
      <c r="G28" s="9" t="s">
        <v>237</v>
      </c>
      <c r="H28" s="9" t="s">
        <v>238</v>
      </c>
      <c r="I28" s="9" t="s">
        <v>243</v>
      </c>
      <c r="J28" s="9" t="s">
        <v>236</v>
      </c>
      <c r="K28" s="9" t="s">
        <v>237</v>
      </c>
      <c r="L28" s="9" t="s">
        <v>238</v>
      </c>
      <c r="M28" s="22" t="s">
        <v>243</v>
      </c>
      <c r="N28" s="9" t="s">
        <v>242</v>
      </c>
    </row>
    <row r="29" spans="1:14" x14ac:dyDescent="0.25">
      <c r="A29" s="9">
        <v>0</v>
      </c>
      <c r="B29" s="9">
        <v>28</v>
      </c>
      <c r="C29" s="9">
        <v>29</v>
      </c>
      <c r="D29" s="9">
        <v>26</v>
      </c>
      <c r="E29" s="10">
        <f>AVERAGE(B29:D29)</f>
        <v>27.666666666666668</v>
      </c>
      <c r="F29" s="9">
        <v>38</v>
      </c>
      <c r="G29" s="9">
        <v>26</v>
      </c>
      <c r="H29" s="9">
        <v>28</v>
      </c>
      <c r="I29" s="10">
        <f>AVERAGE(F29:H29)</f>
        <v>30.666666666666668</v>
      </c>
      <c r="J29" s="9">
        <v>29</v>
      </c>
      <c r="K29" s="9">
        <v>31</v>
      </c>
      <c r="L29" s="9">
        <v>27</v>
      </c>
      <c r="M29" s="23">
        <f>AVERAGE(J29:L29)</f>
        <v>29</v>
      </c>
      <c r="N29" s="9">
        <f>2*10*100000</f>
        <v>2000000</v>
      </c>
    </row>
    <row r="30" spans="1:14" x14ac:dyDescent="0.25">
      <c r="A30" s="9">
        <v>15</v>
      </c>
      <c r="B30" s="9">
        <v>12</v>
      </c>
      <c r="C30" s="9">
        <v>12</v>
      </c>
      <c r="D30" s="9">
        <v>9</v>
      </c>
      <c r="E30" s="10">
        <f t="shared" ref="E30:E32" si="0">AVERAGE(B30:D30)</f>
        <v>11</v>
      </c>
      <c r="F30" s="9">
        <v>7</v>
      </c>
      <c r="G30" s="9">
        <v>27</v>
      </c>
      <c r="H30" s="9">
        <v>22</v>
      </c>
      <c r="I30" s="10">
        <f>AVERAGE(F30:H30)</f>
        <v>18.666666666666668</v>
      </c>
      <c r="J30" s="9">
        <v>28</v>
      </c>
      <c r="K30" s="9">
        <v>22</v>
      </c>
      <c r="L30" s="9">
        <v>12</v>
      </c>
      <c r="M30" s="23">
        <f t="shared" ref="M30:M32" si="1">AVERAGE(J30:L30)</f>
        <v>20.666666666666668</v>
      </c>
      <c r="N30" s="9">
        <f>2*10*100000</f>
        <v>2000000</v>
      </c>
    </row>
    <row r="31" spans="1:14" x14ac:dyDescent="0.25">
      <c r="A31" s="9">
        <v>30</v>
      </c>
      <c r="B31" s="9">
        <v>8</v>
      </c>
      <c r="C31" s="9">
        <v>35</v>
      </c>
      <c r="D31" s="9">
        <v>31</v>
      </c>
      <c r="E31" s="10">
        <f t="shared" si="0"/>
        <v>24.666666666666668</v>
      </c>
      <c r="F31" s="9">
        <v>15</v>
      </c>
      <c r="G31" s="9">
        <v>15</v>
      </c>
      <c r="H31" s="9">
        <v>8</v>
      </c>
      <c r="I31" s="10">
        <f>AVERAGE(F31:H31)</f>
        <v>12.666666666666666</v>
      </c>
      <c r="J31" s="9">
        <v>18</v>
      </c>
      <c r="K31" s="9">
        <v>24</v>
      </c>
      <c r="L31" s="9">
        <v>34</v>
      </c>
      <c r="M31" s="23">
        <f t="shared" si="1"/>
        <v>25.333333333333332</v>
      </c>
      <c r="N31" s="9">
        <f>2*10*1000</f>
        <v>20000</v>
      </c>
    </row>
    <row r="32" spans="1:14" x14ac:dyDescent="0.25">
      <c r="A32" s="9">
        <v>60</v>
      </c>
      <c r="B32" s="9">
        <v>0</v>
      </c>
      <c r="C32" s="9">
        <v>0</v>
      </c>
      <c r="D32" s="9">
        <v>0</v>
      </c>
      <c r="E32" s="10">
        <f t="shared" si="0"/>
        <v>0</v>
      </c>
      <c r="F32" s="9">
        <v>0</v>
      </c>
      <c r="G32" s="9">
        <v>0</v>
      </c>
      <c r="H32" s="9">
        <v>0</v>
      </c>
      <c r="I32" s="10">
        <f>AVERAGE(F32:H32)</f>
        <v>0</v>
      </c>
      <c r="J32" s="9">
        <v>0</v>
      </c>
      <c r="K32" s="9">
        <v>0</v>
      </c>
      <c r="L32" s="9">
        <v>0</v>
      </c>
      <c r="M32" s="23">
        <f t="shared" si="1"/>
        <v>0</v>
      </c>
      <c r="N32" s="9">
        <f>2*10</f>
        <v>20</v>
      </c>
    </row>
    <row r="33" spans="1:13" x14ac:dyDescent="0.25">
      <c r="B33" s="12">
        <v>1</v>
      </c>
      <c r="C33" s="12">
        <v>2</v>
      </c>
      <c r="D33" s="12">
        <v>3</v>
      </c>
      <c r="E33" s="13"/>
      <c r="H33" t="s">
        <v>129</v>
      </c>
    </row>
    <row r="34" spans="1:13" x14ac:dyDescent="0.25">
      <c r="A34" s="9">
        <v>0</v>
      </c>
      <c r="B34" s="4">
        <f>E29*N29</f>
        <v>55333333.333333336</v>
      </c>
      <c r="C34" s="4">
        <f>I29*N29</f>
        <v>61333333.333333336</v>
      </c>
      <c r="D34" s="4">
        <f>M29*N29</f>
        <v>58000000</v>
      </c>
      <c r="E34" s="14">
        <f>LOG10(B34)</f>
        <v>7.7429868333203924</v>
      </c>
      <c r="F34" s="14">
        <f t="shared" ref="F34:G34" si="2">LOG10(C34)</f>
        <v>7.7876965682898742</v>
      </c>
      <c r="G34" s="14">
        <f t="shared" si="2"/>
        <v>7.7634279935629369</v>
      </c>
      <c r="K34" t="s">
        <v>243</v>
      </c>
      <c r="L34" t="s">
        <v>262</v>
      </c>
    </row>
    <row r="35" spans="1:13" x14ac:dyDescent="0.25">
      <c r="A35" s="9">
        <v>15</v>
      </c>
      <c r="B35" s="4">
        <f>D30*N30</f>
        <v>18000000</v>
      </c>
      <c r="C35" s="4">
        <f>I30*N30</f>
        <v>37333333.333333336</v>
      </c>
      <c r="D35" s="4">
        <f>M30*N30</f>
        <v>41333333.333333336</v>
      </c>
      <c r="E35" s="14">
        <f t="shared" ref="E35:E36" si="3">LOG10(B35)</f>
        <v>7.2552725051033065</v>
      </c>
      <c r="F35" s="14">
        <f t="shared" ref="F35:F36" si="4">LOG10(C35)</f>
        <v>7.5720967679505193</v>
      </c>
      <c r="G35" s="14">
        <f t="shared" ref="G35:G36" si="5">LOG10(D35)</f>
        <v>7.616300430442573</v>
      </c>
      <c r="H35" s="15">
        <f>$E$34-E35</f>
        <v>0.48771432821708594</v>
      </c>
      <c r="I35" s="15">
        <f>$F$34-F35</f>
        <v>0.21559980033935489</v>
      </c>
      <c r="J35" s="15">
        <f>$G$34-G35</f>
        <v>0.1471275631203639</v>
      </c>
      <c r="K35" s="15">
        <f>AVERAGE(H35:J35)</f>
        <v>0.28348056389226822</v>
      </c>
      <c r="L35">
        <f>STDEV(H35:J35)</f>
        <v>0.18015461327747706</v>
      </c>
    </row>
    <row r="36" spans="1:13" x14ac:dyDescent="0.25">
      <c r="A36" s="9">
        <v>30</v>
      </c>
      <c r="B36" s="4">
        <f>E31*N31</f>
        <v>493333.33333333337</v>
      </c>
      <c r="C36" s="4">
        <f>I31*N31</f>
        <v>253333.33333333331</v>
      </c>
      <c r="D36" s="4">
        <f>M31*N31</f>
        <v>506666.66666666663</v>
      </c>
      <c r="E36" s="14">
        <f t="shared" si="3"/>
        <v>5.6931404606752949</v>
      </c>
      <c r="F36" s="14">
        <f t="shared" si="4"/>
        <v>5.4036923375611288</v>
      </c>
      <c r="G36" s="14">
        <f t="shared" si="5"/>
        <v>5.70472233322511</v>
      </c>
      <c r="H36" s="15">
        <f t="shared" ref="H36" si="6">$E$34-E36</f>
        <v>2.0498463726450975</v>
      </c>
      <c r="I36" s="15">
        <f t="shared" ref="I36:I37" si="7">$F$34-F36</f>
        <v>2.3840042307287455</v>
      </c>
      <c r="J36" s="15">
        <f t="shared" ref="J36:J37" si="8">$G$34-G36</f>
        <v>2.0587056603378269</v>
      </c>
      <c r="K36" s="15">
        <f t="shared" ref="K36:K37" si="9">AVERAGE(H36:J36)</f>
        <v>2.1641854212372231</v>
      </c>
      <c r="L36">
        <f t="shared" ref="L36:L37" si="10">STDEV(H36:J36)</f>
        <v>0.19042020244529789</v>
      </c>
    </row>
    <row r="37" spans="1:13" x14ac:dyDescent="0.25">
      <c r="A37" s="9">
        <v>60</v>
      </c>
      <c r="B37" s="4">
        <v>0</v>
      </c>
      <c r="C37" s="4">
        <v>0</v>
      </c>
      <c r="D37" s="4">
        <v>0</v>
      </c>
      <c r="E37" s="18">
        <v>0</v>
      </c>
      <c r="F37" s="18">
        <v>0</v>
      </c>
      <c r="G37" s="18">
        <v>0</v>
      </c>
      <c r="H37" s="17">
        <f>$E$34-E37</f>
        <v>7.7429868333203924</v>
      </c>
      <c r="I37" s="17">
        <f t="shared" si="7"/>
        <v>7.7876965682898742</v>
      </c>
      <c r="J37" s="17">
        <f t="shared" si="8"/>
        <v>7.7634279935629369</v>
      </c>
      <c r="K37" s="17">
        <f t="shared" si="9"/>
        <v>7.7647037983910678</v>
      </c>
      <c r="L37">
        <f t="shared" si="10"/>
        <v>2.2382154917030182E-2</v>
      </c>
      <c r="M37" t="s">
        <v>187</v>
      </c>
    </row>
  </sheetData>
  <mergeCells count="3">
    <mergeCell ref="F27:I27"/>
    <mergeCell ref="B27:E27"/>
    <mergeCell ref="J27:M27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/>
  </sheetViews>
  <sheetFormatPr defaultRowHeight="15" x14ac:dyDescent="0.25"/>
  <cols>
    <col min="1" max="1" width="14.28515625" customWidth="1"/>
    <col min="7" max="7" width="10.7109375" bestFit="1" customWidth="1"/>
  </cols>
  <sheetData>
    <row r="1" spans="1:13" x14ac:dyDescent="0.25">
      <c r="A1" t="s">
        <v>0</v>
      </c>
      <c r="G1" s="1">
        <v>41842</v>
      </c>
    </row>
    <row r="2" spans="1:13" ht="17.25" x14ac:dyDescent="0.25">
      <c r="A2" s="31" t="s">
        <v>335</v>
      </c>
      <c r="D2" t="s">
        <v>216</v>
      </c>
      <c r="J2" t="s">
        <v>248</v>
      </c>
      <c r="L2" t="s">
        <v>249</v>
      </c>
      <c r="M2" t="s">
        <v>250</v>
      </c>
    </row>
    <row r="3" spans="1:13" ht="17.25" x14ac:dyDescent="0.25">
      <c r="A3" t="s">
        <v>1</v>
      </c>
      <c r="D3" t="s">
        <v>217</v>
      </c>
      <c r="J3" t="s">
        <v>251</v>
      </c>
      <c r="L3" t="s">
        <v>252</v>
      </c>
      <c r="M3" t="s">
        <v>250</v>
      </c>
    </row>
    <row r="4" spans="1:13" x14ac:dyDescent="0.25">
      <c r="A4" t="s">
        <v>193</v>
      </c>
      <c r="J4" t="s">
        <v>253</v>
      </c>
    </row>
    <row r="5" spans="1:13" x14ac:dyDescent="0.25">
      <c r="J5" t="s">
        <v>254</v>
      </c>
    </row>
    <row r="6" spans="1:13" x14ac:dyDescent="0.25">
      <c r="J6" t="s">
        <v>255</v>
      </c>
    </row>
    <row r="7" spans="1:13" x14ac:dyDescent="0.25">
      <c r="L7" t="s">
        <v>256</v>
      </c>
    </row>
    <row r="8" spans="1:13" x14ac:dyDescent="0.25">
      <c r="L8" t="s">
        <v>257</v>
      </c>
    </row>
    <row r="10" spans="1:13" x14ac:dyDescent="0.25">
      <c r="A10" t="s">
        <v>242</v>
      </c>
      <c r="D10">
        <v>-4</v>
      </c>
      <c r="E10">
        <v>-5</v>
      </c>
      <c r="F10">
        <v>-6</v>
      </c>
    </row>
    <row r="11" spans="1:13" x14ac:dyDescent="0.25">
      <c r="A11" t="s">
        <v>35</v>
      </c>
      <c r="D11" t="s">
        <v>247</v>
      </c>
      <c r="E11" t="s">
        <v>247</v>
      </c>
      <c r="F11" t="s">
        <v>258</v>
      </c>
      <c r="I11" s="4">
        <f>AVERAGE(7,13,10)*1000000</f>
        <v>10000000</v>
      </c>
      <c r="J11">
        <f>LOG10(I11)</f>
        <v>7</v>
      </c>
    </row>
    <row r="12" spans="1:13" x14ac:dyDescent="0.25">
      <c r="A12" t="s">
        <v>259</v>
      </c>
      <c r="D12" t="s">
        <v>260</v>
      </c>
      <c r="I12" s="4"/>
    </row>
    <row r="13" spans="1:13" x14ac:dyDescent="0.25">
      <c r="A13" t="s">
        <v>242</v>
      </c>
      <c r="D13" t="s">
        <v>60</v>
      </c>
      <c r="E13">
        <v>-2</v>
      </c>
      <c r="F13">
        <v>-4</v>
      </c>
      <c r="G13">
        <v>-6</v>
      </c>
      <c r="I13" s="4"/>
    </row>
    <row r="14" spans="1:13" x14ac:dyDescent="0.25">
      <c r="B14" t="s">
        <v>306</v>
      </c>
      <c r="C14" t="s">
        <v>308</v>
      </c>
      <c r="I14" s="4"/>
      <c r="J14" t="s">
        <v>309</v>
      </c>
    </row>
    <row r="15" spans="1:13" x14ac:dyDescent="0.25">
      <c r="A15" t="s">
        <v>222</v>
      </c>
      <c r="B15">
        <v>1</v>
      </c>
      <c r="C15">
        <v>55</v>
      </c>
      <c r="D15" t="s">
        <v>247</v>
      </c>
      <c r="E15" t="s">
        <v>247</v>
      </c>
      <c r="F15">
        <v>3</v>
      </c>
      <c r="G15">
        <v>6</v>
      </c>
      <c r="I15" s="4">
        <f>F15*10000</f>
        <v>30000</v>
      </c>
      <c r="J15">
        <f t="shared" ref="J15:J18" si="0">LOG10(I15)</f>
        <v>4.4771212547196626</v>
      </c>
    </row>
    <row r="16" spans="1:13" x14ac:dyDescent="0.25">
      <c r="A16" t="s">
        <v>99</v>
      </c>
      <c r="B16">
        <v>30</v>
      </c>
      <c r="C16">
        <v>55</v>
      </c>
      <c r="D16" t="s">
        <v>247</v>
      </c>
      <c r="E16">
        <v>0</v>
      </c>
      <c r="F16">
        <v>0</v>
      </c>
      <c r="G16">
        <v>0</v>
      </c>
      <c r="I16" s="4">
        <v>100</v>
      </c>
      <c r="J16">
        <f t="shared" si="0"/>
        <v>2</v>
      </c>
    </row>
    <row r="17" spans="1:10" x14ac:dyDescent="0.25">
      <c r="A17" t="s">
        <v>223</v>
      </c>
      <c r="B17">
        <v>60</v>
      </c>
      <c r="C17">
        <v>55</v>
      </c>
      <c r="D17">
        <v>23</v>
      </c>
      <c r="E17">
        <v>0</v>
      </c>
      <c r="F17">
        <v>0</v>
      </c>
      <c r="G17">
        <v>0</v>
      </c>
      <c r="I17" s="4">
        <f>D17</f>
        <v>23</v>
      </c>
      <c r="J17">
        <f t="shared" si="0"/>
        <v>1.3617278360175928</v>
      </c>
    </row>
    <row r="18" spans="1:10" x14ac:dyDescent="0.25">
      <c r="A18" t="s">
        <v>161</v>
      </c>
      <c r="B18">
        <v>1</v>
      </c>
      <c r="C18">
        <v>65</v>
      </c>
      <c r="D18">
        <v>98</v>
      </c>
      <c r="E18">
        <v>0</v>
      </c>
      <c r="F18">
        <v>0</v>
      </c>
      <c r="G18">
        <v>0</v>
      </c>
      <c r="I18" s="4">
        <f t="shared" ref="I18:I23" si="1">D18</f>
        <v>98</v>
      </c>
      <c r="J18">
        <f t="shared" si="0"/>
        <v>1.9912260756924949</v>
      </c>
    </row>
    <row r="19" spans="1:10" x14ac:dyDescent="0.25">
      <c r="A19" t="s">
        <v>119</v>
      </c>
      <c r="B19">
        <v>30</v>
      </c>
      <c r="C19">
        <v>65</v>
      </c>
      <c r="D19">
        <v>0</v>
      </c>
      <c r="E19">
        <v>0</v>
      </c>
      <c r="F19">
        <v>0</v>
      </c>
      <c r="G19">
        <v>0</v>
      </c>
      <c r="I19" s="4">
        <f t="shared" si="1"/>
        <v>0</v>
      </c>
      <c r="J19" s="2">
        <v>0</v>
      </c>
    </row>
    <row r="20" spans="1:10" x14ac:dyDescent="0.25">
      <c r="A20" t="s">
        <v>120</v>
      </c>
      <c r="B20">
        <v>60</v>
      </c>
      <c r="C20">
        <v>65</v>
      </c>
      <c r="D20">
        <v>0</v>
      </c>
      <c r="E20">
        <v>0</v>
      </c>
      <c r="F20">
        <v>0</v>
      </c>
      <c r="G20">
        <v>0</v>
      </c>
      <c r="I20" s="4">
        <f t="shared" si="1"/>
        <v>0</v>
      </c>
      <c r="J20" s="2">
        <v>0</v>
      </c>
    </row>
    <row r="21" spans="1:10" x14ac:dyDescent="0.25">
      <c r="A21" t="s">
        <v>221</v>
      </c>
      <c r="B21">
        <v>1</v>
      </c>
      <c r="C21">
        <v>75</v>
      </c>
      <c r="D21">
        <v>0</v>
      </c>
      <c r="E21">
        <v>0</v>
      </c>
      <c r="F21">
        <v>0</v>
      </c>
      <c r="G21">
        <v>0</v>
      </c>
      <c r="I21" s="4">
        <f t="shared" si="1"/>
        <v>0</v>
      </c>
      <c r="J21" s="2">
        <v>0</v>
      </c>
    </row>
    <row r="22" spans="1:10" x14ac:dyDescent="0.25">
      <c r="A22" t="s">
        <v>204</v>
      </c>
      <c r="B22">
        <v>30</v>
      </c>
      <c r="C22">
        <v>75</v>
      </c>
      <c r="D22">
        <v>0</v>
      </c>
      <c r="E22">
        <v>0</v>
      </c>
      <c r="F22">
        <v>0</v>
      </c>
      <c r="G22">
        <v>0</v>
      </c>
      <c r="I22" s="4">
        <f t="shared" si="1"/>
        <v>0</v>
      </c>
      <c r="J22" s="2">
        <v>0</v>
      </c>
    </row>
    <row r="23" spans="1:10" x14ac:dyDescent="0.25">
      <c r="A23" t="s">
        <v>206</v>
      </c>
      <c r="B23">
        <v>60</v>
      </c>
      <c r="C23">
        <v>75</v>
      </c>
      <c r="D23">
        <v>0</v>
      </c>
      <c r="E23">
        <v>0</v>
      </c>
      <c r="F23">
        <v>0</v>
      </c>
      <c r="G23">
        <v>0</v>
      </c>
      <c r="I23" s="4">
        <f t="shared" si="1"/>
        <v>0</v>
      </c>
      <c r="J23" s="2">
        <v>0</v>
      </c>
    </row>
    <row r="24" spans="1:10" x14ac:dyDescent="0.25">
      <c r="G24" s="4"/>
    </row>
    <row r="25" spans="1:10" x14ac:dyDescent="0.25">
      <c r="D25">
        <v>55</v>
      </c>
      <c r="E25">
        <v>65</v>
      </c>
      <c r="F25">
        <v>75</v>
      </c>
    </row>
    <row r="26" spans="1:10" x14ac:dyDescent="0.25">
      <c r="C26">
        <v>1</v>
      </c>
      <c r="D26">
        <f>$J$11-J15</f>
        <v>2.5228787452803374</v>
      </c>
      <c r="E26">
        <f>$J$11-J18</f>
        <v>5.0087739243075049</v>
      </c>
      <c r="F26" s="2">
        <f>$J$11-J21</f>
        <v>7</v>
      </c>
      <c r="H26" s="16"/>
      <c r="I26" t="s">
        <v>263</v>
      </c>
    </row>
    <row r="27" spans="1:10" x14ac:dyDescent="0.25">
      <c r="C27">
        <v>30</v>
      </c>
      <c r="D27" s="16">
        <f t="shared" ref="D27:D28" si="2">$J$11-J16</f>
        <v>5</v>
      </c>
      <c r="E27" s="2">
        <f t="shared" ref="E27:E28" si="3">$J$11-J19</f>
        <v>7</v>
      </c>
      <c r="F27" s="2">
        <f t="shared" ref="F27:F28" si="4">$J$11-J22</f>
        <v>7</v>
      </c>
      <c r="H27" s="2"/>
      <c r="I27" t="s">
        <v>264</v>
      </c>
    </row>
    <row r="28" spans="1:10" x14ac:dyDescent="0.25">
      <c r="C28">
        <v>60</v>
      </c>
      <c r="D28">
        <f t="shared" si="2"/>
        <v>5.6382721639824069</v>
      </c>
      <c r="E28" s="2">
        <f t="shared" si="3"/>
        <v>7</v>
      </c>
      <c r="F28" s="2">
        <f t="shared" si="4"/>
        <v>7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/>
  </sheetViews>
  <sheetFormatPr defaultRowHeight="15" x14ac:dyDescent="0.25"/>
  <cols>
    <col min="1" max="1" width="14.28515625" customWidth="1"/>
    <col min="2" max="5" width="10" bestFit="1" customWidth="1"/>
    <col min="7" max="7" width="10.7109375" bestFit="1" customWidth="1"/>
    <col min="8" max="8" width="10" bestFit="1" customWidth="1"/>
    <col min="11" max="11" width="10" bestFit="1" customWidth="1"/>
  </cols>
  <sheetData>
    <row r="1" spans="1:13" x14ac:dyDescent="0.25">
      <c r="A1" t="s">
        <v>0</v>
      </c>
      <c r="G1" s="1">
        <v>41842</v>
      </c>
    </row>
    <row r="2" spans="1:13" ht="17.25" x14ac:dyDescent="0.25">
      <c r="A2" s="31" t="s">
        <v>335</v>
      </c>
      <c r="D2">
        <v>55</v>
      </c>
      <c r="J2" t="s">
        <v>248</v>
      </c>
      <c r="L2" t="s">
        <v>249</v>
      </c>
      <c r="M2" t="s">
        <v>250</v>
      </c>
    </row>
    <row r="3" spans="1:13" ht="17.25" x14ac:dyDescent="0.25">
      <c r="A3" t="s">
        <v>1</v>
      </c>
      <c r="D3" t="s">
        <v>291</v>
      </c>
      <c r="J3" t="s">
        <v>251</v>
      </c>
      <c r="L3" t="s">
        <v>252</v>
      </c>
      <c r="M3" t="s">
        <v>250</v>
      </c>
    </row>
    <row r="4" spans="1:13" x14ac:dyDescent="0.25">
      <c r="A4" t="s">
        <v>234</v>
      </c>
      <c r="J4" t="s">
        <v>292</v>
      </c>
    </row>
    <row r="5" spans="1:13" x14ac:dyDescent="0.25">
      <c r="J5" t="s">
        <v>254</v>
      </c>
    </row>
    <row r="6" spans="1:13" x14ac:dyDescent="0.25">
      <c r="J6" t="s">
        <v>255</v>
      </c>
    </row>
    <row r="7" spans="1:13" x14ac:dyDescent="0.25">
      <c r="J7" t="s">
        <v>256</v>
      </c>
    </row>
    <row r="8" spans="1:13" x14ac:dyDescent="0.25">
      <c r="J8" t="s">
        <v>257</v>
      </c>
    </row>
    <row r="10" spans="1:13" x14ac:dyDescent="0.25">
      <c r="B10" s="11" t="s">
        <v>242</v>
      </c>
      <c r="C10" t="s">
        <v>236</v>
      </c>
      <c r="D10" t="s">
        <v>237</v>
      </c>
      <c r="E10" t="s">
        <v>238</v>
      </c>
      <c r="F10" t="s">
        <v>236</v>
      </c>
      <c r="G10" t="s">
        <v>237</v>
      </c>
      <c r="H10" t="s">
        <v>238</v>
      </c>
      <c r="I10" t="s">
        <v>236</v>
      </c>
      <c r="J10" t="s">
        <v>237</v>
      </c>
      <c r="K10" t="s">
        <v>238</v>
      </c>
    </row>
    <row r="11" spans="1:13" ht="17.25" x14ac:dyDescent="0.25">
      <c r="A11" t="s">
        <v>244</v>
      </c>
      <c r="B11">
        <v>-1</v>
      </c>
      <c r="C11">
        <v>4</v>
      </c>
      <c r="D11">
        <v>6</v>
      </c>
      <c r="E11">
        <v>12</v>
      </c>
      <c r="F11">
        <v>12</v>
      </c>
      <c r="G11">
        <v>9</v>
      </c>
      <c r="H11">
        <v>11</v>
      </c>
      <c r="I11">
        <v>5</v>
      </c>
      <c r="J11">
        <v>11</v>
      </c>
      <c r="K11">
        <v>11</v>
      </c>
    </row>
    <row r="12" spans="1:13" x14ac:dyDescent="0.25">
      <c r="B12">
        <v>-2</v>
      </c>
      <c r="C12">
        <v>2</v>
      </c>
      <c r="D12">
        <v>2</v>
      </c>
      <c r="E12">
        <v>0</v>
      </c>
      <c r="F12">
        <v>0</v>
      </c>
      <c r="G12">
        <v>0</v>
      </c>
      <c r="H12">
        <v>1</v>
      </c>
      <c r="I12">
        <v>0</v>
      </c>
      <c r="J12">
        <v>1</v>
      </c>
      <c r="K12">
        <v>1</v>
      </c>
    </row>
    <row r="14" spans="1:13" ht="17.25" x14ac:dyDescent="0.25">
      <c r="A14" t="s">
        <v>245</v>
      </c>
      <c r="B14">
        <v>-1</v>
      </c>
      <c r="C14">
        <v>17</v>
      </c>
      <c r="D14">
        <v>11</v>
      </c>
      <c r="E14">
        <v>2</v>
      </c>
      <c r="F14">
        <v>3</v>
      </c>
      <c r="G14">
        <v>10</v>
      </c>
      <c r="H14">
        <v>3</v>
      </c>
      <c r="I14">
        <v>1</v>
      </c>
      <c r="J14">
        <v>17</v>
      </c>
      <c r="K14">
        <v>10</v>
      </c>
    </row>
    <row r="16" spans="1:13" ht="17.25" x14ac:dyDescent="0.25">
      <c r="A16" t="s">
        <v>246</v>
      </c>
      <c r="B16" t="s">
        <v>60</v>
      </c>
      <c r="C16">
        <v>1</v>
      </c>
      <c r="D16">
        <v>5</v>
      </c>
      <c r="E16">
        <v>2</v>
      </c>
      <c r="F16">
        <v>32</v>
      </c>
      <c r="G16">
        <v>6</v>
      </c>
      <c r="H16">
        <v>8</v>
      </c>
      <c r="I16">
        <v>62</v>
      </c>
      <c r="J16">
        <v>8</v>
      </c>
      <c r="K16">
        <v>41</v>
      </c>
    </row>
    <row r="18" spans="1:14" x14ac:dyDescent="0.25">
      <c r="A18">
        <v>0</v>
      </c>
      <c r="B18">
        <v>-5</v>
      </c>
      <c r="C18" t="s">
        <v>247</v>
      </c>
      <c r="D18" t="s">
        <v>247</v>
      </c>
      <c r="E18" t="s">
        <v>247</v>
      </c>
      <c r="F18" t="s">
        <v>247</v>
      </c>
      <c r="G18" t="s">
        <v>247</v>
      </c>
      <c r="H18" t="s">
        <v>247</v>
      </c>
      <c r="I18" t="s">
        <v>247</v>
      </c>
      <c r="J18" t="s">
        <v>247</v>
      </c>
      <c r="K18" t="s">
        <v>247</v>
      </c>
    </row>
    <row r="19" spans="1:14" x14ac:dyDescent="0.25">
      <c r="B19">
        <v>-6</v>
      </c>
      <c r="C19">
        <v>14</v>
      </c>
      <c r="D19">
        <v>13</v>
      </c>
      <c r="E19">
        <v>8</v>
      </c>
      <c r="F19">
        <v>14</v>
      </c>
      <c r="G19">
        <v>14</v>
      </c>
      <c r="H19">
        <v>15</v>
      </c>
      <c r="I19">
        <v>12</v>
      </c>
      <c r="J19">
        <v>10</v>
      </c>
      <c r="K19">
        <v>15</v>
      </c>
    </row>
    <row r="22" spans="1:14" x14ac:dyDescent="0.25">
      <c r="A22" s="9"/>
      <c r="B22" s="20" t="s">
        <v>239</v>
      </c>
      <c r="C22" s="21"/>
      <c r="D22" s="21"/>
      <c r="E22" s="21"/>
      <c r="F22" s="20" t="s">
        <v>240</v>
      </c>
      <c r="G22" s="21"/>
      <c r="H22" s="21"/>
      <c r="I22" s="21"/>
      <c r="J22" s="20" t="s">
        <v>241</v>
      </c>
      <c r="K22" s="21"/>
      <c r="L22" s="21"/>
      <c r="M22" s="21"/>
      <c r="N22" s="9"/>
    </row>
    <row r="23" spans="1:14" x14ac:dyDescent="0.25">
      <c r="A23" s="9" t="s">
        <v>235</v>
      </c>
      <c r="B23" s="9" t="s">
        <v>236</v>
      </c>
      <c r="C23" s="9" t="s">
        <v>237</v>
      </c>
      <c r="D23" s="9" t="s">
        <v>238</v>
      </c>
      <c r="E23" s="9" t="s">
        <v>243</v>
      </c>
      <c r="F23" s="9" t="s">
        <v>236</v>
      </c>
      <c r="G23" s="9" t="s">
        <v>237</v>
      </c>
      <c r="H23" s="9" t="s">
        <v>238</v>
      </c>
      <c r="I23" s="9" t="s">
        <v>243</v>
      </c>
      <c r="J23" s="9" t="s">
        <v>236</v>
      </c>
      <c r="K23" s="9" t="s">
        <v>237</v>
      </c>
      <c r="L23" s="9" t="s">
        <v>238</v>
      </c>
      <c r="M23" s="9" t="s">
        <v>243</v>
      </c>
      <c r="N23" s="9" t="s">
        <v>242</v>
      </c>
    </row>
    <row r="24" spans="1:14" x14ac:dyDescent="0.25">
      <c r="A24" s="9">
        <v>0</v>
      </c>
      <c r="B24" s="4">
        <f>C19*$N$24</f>
        <v>280000000</v>
      </c>
      <c r="C24" s="4">
        <f>D19*$N$24</f>
        <v>260000000</v>
      </c>
      <c r="D24" s="4">
        <f>E19*$N$24</f>
        <v>160000000</v>
      </c>
      <c r="E24" s="19">
        <f>AVERAGE(B24:D24)</f>
        <v>233333333.33333334</v>
      </c>
      <c r="F24" s="4">
        <f>F19*$N$24</f>
        <v>280000000</v>
      </c>
      <c r="G24" s="4">
        <f t="shared" ref="G24:H24" si="0">G19*$N$24</f>
        <v>280000000</v>
      </c>
      <c r="H24" s="4">
        <f t="shared" si="0"/>
        <v>300000000</v>
      </c>
      <c r="I24" s="19">
        <f>AVERAGE(F24:H24)</f>
        <v>286666666.66666669</v>
      </c>
      <c r="J24" s="4">
        <f>I19*$N$24</f>
        <v>240000000</v>
      </c>
      <c r="K24" s="4">
        <f t="shared" ref="K24:L24" si="1">J19*$N$24</f>
        <v>200000000</v>
      </c>
      <c r="L24" s="4">
        <f t="shared" si="1"/>
        <v>300000000</v>
      </c>
      <c r="M24" s="19">
        <f>AVERAGE(J24:L24)</f>
        <v>246666666.66666666</v>
      </c>
      <c r="N24" s="19">
        <f>2*10*1000000</f>
        <v>20000000</v>
      </c>
    </row>
    <row r="25" spans="1:14" x14ac:dyDescent="0.25">
      <c r="A25" s="9">
        <v>15</v>
      </c>
      <c r="B25" s="19">
        <f>C11*$N$25</f>
        <v>800</v>
      </c>
      <c r="C25" s="19">
        <f t="shared" ref="C25:D25" si="2">D11*$N$25</f>
        <v>1200</v>
      </c>
      <c r="D25" s="19">
        <f t="shared" si="2"/>
        <v>2400</v>
      </c>
      <c r="E25" s="19">
        <f t="shared" ref="E25:E26" si="3">AVERAGE(B25:D25)</f>
        <v>1466.6666666666667</v>
      </c>
      <c r="F25" s="19">
        <f>F11*$N$25</f>
        <v>2400</v>
      </c>
      <c r="G25" s="19">
        <f>G11*$N$25</f>
        <v>1800</v>
      </c>
      <c r="H25" s="19">
        <f>H11*$N$25</f>
        <v>2200</v>
      </c>
      <c r="I25" s="19">
        <f t="shared" ref="I25:I26" si="4">AVERAGE(F25:H25)</f>
        <v>2133.3333333333335</v>
      </c>
      <c r="J25" s="19">
        <f>I11*$N$25</f>
        <v>1000</v>
      </c>
      <c r="K25" s="19">
        <f t="shared" ref="K25:L25" si="5">J11*$N$25</f>
        <v>2200</v>
      </c>
      <c r="L25" s="19">
        <f t="shared" si="5"/>
        <v>2200</v>
      </c>
      <c r="M25" s="19">
        <f t="shared" ref="M25:M26" si="6">AVERAGE(J25:L25)</f>
        <v>1800</v>
      </c>
      <c r="N25" s="19">
        <f>2*10*10</f>
        <v>200</v>
      </c>
    </row>
    <row r="26" spans="1:14" x14ac:dyDescent="0.25">
      <c r="A26" s="9">
        <v>30</v>
      </c>
      <c r="B26" s="19">
        <f>C14*$N$26</f>
        <v>3400</v>
      </c>
      <c r="C26" s="19">
        <f t="shared" ref="C26:D26" si="7">D14*$N$26</f>
        <v>2200</v>
      </c>
      <c r="D26" s="19">
        <f t="shared" si="7"/>
        <v>400</v>
      </c>
      <c r="E26" s="19">
        <f t="shared" si="3"/>
        <v>2000</v>
      </c>
      <c r="F26" s="19">
        <f>F14*$N$26</f>
        <v>600</v>
      </c>
      <c r="G26" s="19">
        <f t="shared" ref="G26:H26" si="8">G14*$N$26</f>
        <v>2000</v>
      </c>
      <c r="H26" s="19">
        <f t="shared" si="8"/>
        <v>600</v>
      </c>
      <c r="I26" s="19">
        <f t="shared" si="4"/>
        <v>1066.6666666666667</v>
      </c>
      <c r="J26" s="19">
        <f>I14*$N$26</f>
        <v>200</v>
      </c>
      <c r="K26" s="19">
        <f t="shared" ref="K26:L26" si="9">J14*$N$26</f>
        <v>3400</v>
      </c>
      <c r="L26" s="19">
        <f t="shared" si="9"/>
        <v>2000</v>
      </c>
      <c r="M26" s="19">
        <f t="shared" si="6"/>
        <v>1866.6666666666667</v>
      </c>
      <c r="N26" s="19">
        <f>2*10*10</f>
        <v>200</v>
      </c>
    </row>
    <row r="27" spans="1:14" x14ac:dyDescent="0.25">
      <c r="A27" s="9">
        <v>60</v>
      </c>
      <c r="B27" s="19">
        <f>C16*$N$27</f>
        <v>20</v>
      </c>
      <c r="C27" s="19">
        <f t="shared" ref="C27:D27" si="10">D16*$N$27</f>
        <v>100</v>
      </c>
      <c r="D27" s="19">
        <f t="shared" si="10"/>
        <v>40</v>
      </c>
      <c r="E27" s="19">
        <f>AVERAGE(B27:D27)</f>
        <v>53.333333333333336</v>
      </c>
      <c r="F27" s="19">
        <f>F16*$N$27</f>
        <v>640</v>
      </c>
      <c r="G27" s="19">
        <f t="shared" ref="G27:H27" si="11">G16*$N$27</f>
        <v>120</v>
      </c>
      <c r="H27" s="19">
        <f t="shared" si="11"/>
        <v>160</v>
      </c>
      <c r="I27" s="19">
        <f>AVERAGE(F27:H27)</f>
        <v>306.66666666666669</v>
      </c>
      <c r="J27" s="19">
        <f>I16*$N$27</f>
        <v>1240</v>
      </c>
      <c r="K27" s="19">
        <f>J16*$N$27</f>
        <v>160</v>
      </c>
      <c r="L27" s="19">
        <f>K16*$N$27</f>
        <v>820</v>
      </c>
      <c r="M27" s="19">
        <f>AVERAGE(J27:L27)</f>
        <v>740</v>
      </c>
      <c r="N27" s="19">
        <f>2*10</f>
        <v>20</v>
      </c>
    </row>
    <row r="28" spans="1:14" x14ac:dyDescent="0.25">
      <c r="B28" s="12">
        <v>1</v>
      </c>
      <c r="C28" s="12">
        <v>2</v>
      </c>
      <c r="D28" s="12">
        <v>3</v>
      </c>
      <c r="E28" s="13"/>
      <c r="H28" t="s">
        <v>129</v>
      </c>
    </row>
    <row r="29" spans="1:14" x14ac:dyDescent="0.25">
      <c r="A29" s="9">
        <v>0</v>
      </c>
      <c r="B29" s="4">
        <f>E24</f>
        <v>233333333.33333334</v>
      </c>
      <c r="C29" s="4">
        <f>I24</f>
        <v>286666666.66666669</v>
      </c>
      <c r="D29" s="4">
        <f>M24</f>
        <v>246666666.66666666</v>
      </c>
      <c r="E29" s="14">
        <f>LOG10(B29)</f>
        <v>8.3679767852945943</v>
      </c>
      <c r="F29" s="14">
        <f t="shared" ref="F29:G29" si="12">LOG10(C29)</f>
        <v>8.4573771965239057</v>
      </c>
      <c r="G29" s="14">
        <f t="shared" si="12"/>
        <v>8.3921104650113136</v>
      </c>
      <c r="K29" t="s">
        <v>243</v>
      </c>
      <c r="L29" t="s">
        <v>262</v>
      </c>
    </row>
    <row r="30" spans="1:14" x14ac:dyDescent="0.25">
      <c r="A30" s="9">
        <v>15</v>
      </c>
      <c r="B30" s="4">
        <f>E25</f>
        <v>1466.6666666666667</v>
      </c>
      <c r="C30" s="4">
        <f>I25</f>
        <v>2133.3333333333335</v>
      </c>
      <c r="D30" s="4">
        <f>M25</f>
        <v>1800</v>
      </c>
      <c r="E30" s="14">
        <f t="shared" ref="E30:E32" si="13">LOG10(B30)</f>
        <v>3.1663314217665248</v>
      </c>
      <c r="F30" s="14">
        <f t="shared" ref="F30:F32" si="14">LOG10(C30)</f>
        <v>3.3290587192642249</v>
      </c>
      <c r="G30" s="14">
        <f t="shared" ref="G30:G32" si="15">LOG10(D30)</f>
        <v>3.255272505103306</v>
      </c>
      <c r="H30" s="15">
        <f>$E$29-E30</f>
        <v>5.2016453635280691</v>
      </c>
      <c r="I30" s="15">
        <f t="shared" ref="I30:J30" si="16">$E$29-F30</f>
        <v>5.0389180660303694</v>
      </c>
      <c r="J30" s="15">
        <f t="shared" si="16"/>
        <v>5.1127042801912879</v>
      </c>
      <c r="K30" s="15">
        <f>AVERAGE(H30:J30)</f>
        <v>5.1177559032499085</v>
      </c>
      <c r="L30">
        <f>STDEV(H30:J30)</f>
        <v>8.1481178865864506E-2</v>
      </c>
    </row>
    <row r="31" spans="1:14" x14ac:dyDescent="0.25">
      <c r="A31" s="9">
        <v>30</v>
      </c>
      <c r="B31" s="4">
        <f>E26</f>
        <v>2000</v>
      </c>
      <c r="C31" s="4">
        <f>I26</f>
        <v>1066.6666666666667</v>
      </c>
      <c r="D31" s="4">
        <f>M26</f>
        <v>1866.6666666666667</v>
      </c>
      <c r="E31" s="14">
        <f t="shared" si="13"/>
        <v>3.3010299956639813</v>
      </c>
      <c r="F31" s="14">
        <f t="shared" si="14"/>
        <v>3.0280287236002437</v>
      </c>
      <c r="G31" s="14">
        <f t="shared" si="15"/>
        <v>3.2710667722865381</v>
      </c>
      <c r="H31" s="15">
        <f t="shared" ref="H31:H32" si="17">$E$29-E31</f>
        <v>5.0669467896306131</v>
      </c>
      <c r="I31" s="15">
        <f t="shared" ref="I31:I32" si="18">$E$29-F31</f>
        <v>5.3399480616943507</v>
      </c>
      <c r="J31" s="15">
        <f t="shared" ref="J31:J32" si="19">$E$29-G31</f>
        <v>5.0969100130080562</v>
      </c>
      <c r="K31" s="15">
        <f t="shared" ref="K31:K32" si="20">AVERAGE(H31:J31)</f>
        <v>5.1679349547776736</v>
      </c>
      <c r="L31">
        <f t="shared" ref="L31:L32" si="21">STDEV(H31:J31)</f>
        <v>0.14971917179218514</v>
      </c>
    </row>
    <row r="32" spans="1:14" x14ac:dyDescent="0.25">
      <c r="A32" s="9">
        <v>60</v>
      </c>
      <c r="B32" s="4">
        <f>E27</f>
        <v>53.333333333333336</v>
      </c>
      <c r="C32" s="4">
        <f>I27</f>
        <v>306.66666666666669</v>
      </c>
      <c r="D32" s="4">
        <f>M27</f>
        <v>740</v>
      </c>
      <c r="E32" s="14">
        <f t="shared" si="13"/>
        <v>1.7269987279362624</v>
      </c>
      <c r="F32" s="14">
        <f t="shared" si="14"/>
        <v>2.486666572625893</v>
      </c>
      <c r="G32" s="14">
        <f t="shared" si="15"/>
        <v>2.8692317197309762</v>
      </c>
      <c r="H32" s="15">
        <f t="shared" si="17"/>
        <v>6.6409780573583319</v>
      </c>
      <c r="I32" s="15">
        <f t="shared" si="18"/>
        <v>5.8813102126687014</v>
      </c>
      <c r="J32" s="15">
        <f t="shared" si="19"/>
        <v>5.4987450655636181</v>
      </c>
      <c r="K32" s="25">
        <f t="shared" si="20"/>
        <v>6.0070111118635507</v>
      </c>
      <c r="L32">
        <f t="shared" si="21"/>
        <v>0.58139882088792627</v>
      </c>
      <c r="M32" t="s">
        <v>187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31" sqref="U3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workbookViewId="0"/>
  </sheetViews>
  <sheetFormatPr defaultRowHeight="15" x14ac:dyDescent="0.25"/>
  <cols>
    <col min="2" max="2" width="11.28515625" customWidth="1"/>
    <col min="3" max="3" width="14" customWidth="1"/>
    <col min="5" max="5" width="9.140625" customWidth="1"/>
    <col min="7" max="7" width="42.28515625" customWidth="1"/>
  </cols>
  <sheetData>
    <row r="1" spans="1:15" x14ac:dyDescent="0.25">
      <c r="A1" t="s">
        <v>0</v>
      </c>
      <c r="G1" s="1">
        <v>41767</v>
      </c>
    </row>
    <row r="2" spans="1:15" x14ac:dyDescent="0.25">
      <c r="A2" t="s">
        <v>336</v>
      </c>
      <c r="D2">
        <v>55</v>
      </c>
      <c r="E2">
        <v>65</v>
      </c>
      <c r="F2">
        <v>75</v>
      </c>
    </row>
    <row r="3" spans="1:15" x14ac:dyDescent="0.25">
      <c r="A3" t="s">
        <v>1</v>
      </c>
      <c r="D3">
        <v>5</v>
      </c>
      <c r="E3">
        <v>60</v>
      </c>
    </row>
    <row r="4" spans="1:15" x14ac:dyDescent="0.25">
      <c r="H4" t="s">
        <v>37</v>
      </c>
      <c r="L4" t="s">
        <v>38</v>
      </c>
      <c r="O4" t="s">
        <v>39</v>
      </c>
    </row>
    <row r="5" spans="1:15" x14ac:dyDescent="0.25">
      <c r="O5" t="s">
        <v>40</v>
      </c>
    </row>
    <row r="6" spans="1:15" x14ac:dyDescent="0.25">
      <c r="A6" t="s">
        <v>27</v>
      </c>
      <c r="B6" t="s">
        <v>301</v>
      </c>
      <c r="C6" t="s">
        <v>28</v>
      </c>
      <c r="E6" t="s">
        <v>56</v>
      </c>
      <c r="H6" t="s">
        <v>36</v>
      </c>
      <c r="J6" t="s">
        <v>41</v>
      </c>
    </row>
    <row r="7" spans="1:15" x14ac:dyDescent="0.25">
      <c r="A7">
        <v>1</v>
      </c>
      <c r="B7" t="s">
        <v>3</v>
      </c>
      <c r="C7" t="s">
        <v>29</v>
      </c>
      <c r="E7" t="s">
        <v>57</v>
      </c>
      <c r="J7" t="s">
        <v>42</v>
      </c>
    </row>
    <row r="8" spans="1:15" x14ac:dyDescent="0.25">
      <c r="A8">
        <v>2</v>
      </c>
      <c r="B8" t="s">
        <v>3</v>
      </c>
      <c r="C8" t="s">
        <v>54</v>
      </c>
      <c r="J8" t="s">
        <v>43</v>
      </c>
    </row>
    <row r="9" spans="1:15" x14ac:dyDescent="0.25">
      <c r="A9">
        <v>3</v>
      </c>
      <c r="B9" t="s">
        <v>3</v>
      </c>
      <c r="C9" t="s">
        <v>55</v>
      </c>
    </row>
    <row r="10" spans="1:15" x14ac:dyDescent="0.25">
      <c r="A10">
        <v>4</v>
      </c>
      <c r="B10" t="s">
        <v>3</v>
      </c>
      <c r="C10" t="s">
        <v>30</v>
      </c>
    </row>
    <row r="11" spans="1:15" x14ac:dyDescent="0.25">
      <c r="A11">
        <v>5</v>
      </c>
      <c r="B11" t="s">
        <v>3</v>
      </c>
      <c r="C11" t="s">
        <v>31</v>
      </c>
      <c r="H11" t="s">
        <v>44</v>
      </c>
      <c r="K11" t="s">
        <v>47</v>
      </c>
    </row>
    <row r="12" spans="1:15" x14ac:dyDescent="0.25">
      <c r="A12">
        <v>6</v>
      </c>
      <c r="B12" t="s">
        <v>3</v>
      </c>
      <c r="C12" t="s">
        <v>32</v>
      </c>
      <c r="J12" t="s">
        <v>45</v>
      </c>
    </row>
    <row r="13" spans="1:15" x14ac:dyDescent="0.25">
      <c r="A13">
        <v>7</v>
      </c>
      <c r="B13" t="s">
        <v>3</v>
      </c>
      <c r="C13" t="s">
        <v>33</v>
      </c>
      <c r="J13" t="s">
        <v>46</v>
      </c>
    </row>
    <row r="14" spans="1:15" x14ac:dyDescent="0.25">
      <c r="A14">
        <v>8</v>
      </c>
      <c r="B14" t="s">
        <v>3</v>
      </c>
      <c r="C14" t="s">
        <v>34</v>
      </c>
      <c r="J14" t="s">
        <v>48</v>
      </c>
    </row>
    <row r="15" spans="1:15" x14ac:dyDescent="0.25">
      <c r="A15">
        <v>9</v>
      </c>
      <c r="B15" t="s">
        <v>3</v>
      </c>
      <c r="C15" t="s">
        <v>53</v>
      </c>
    </row>
    <row r="16" spans="1:15" x14ac:dyDescent="0.25">
      <c r="A16">
        <v>10</v>
      </c>
      <c r="B16" t="s">
        <v>3</v>
      </c>
      <c r="C16" t="s">
        <v>35</v>
      </c>
      <c r="J16" t="s">
        <v>49</v>
      </c>
    </row>
    <row r="17" spans="1:10" x14ac:dyDescent="0.25">
      <c r="A17">
        <v>11</v>
      </c>
      <c r="B17" t="s">
        <v>4</v>
      </c>
      <c r="C17" t="s">
        <v>29</v>
      </c>
      <c r="J17" t="s">
        <v>50</v>
      </c>
    </row>
    <row r="18" spans="1:10" x14ac:dyDescent="0.25">
      <c r="A18">
        <v>12</v>
      </c>
      <c r="B18" t="s">
        <v>4</v>
      </c>
      <c r="C18" t="s">
        <v>54</v>
      </c>
      <c r="J18" t="s">
        <v>51</v>
      </c>
    </row>
    <row r="19" spans="1:10" x14ac:dyDescent="0.25">
      <c r="A19">
        <v>13</v>
      </c>
      <c r="B19" t="s">
        <v>4</v>
      </c>
      <c r="C19" t="s">
        <v>55</v>
      </c>
      <c r="J19" t="s">
        <v>52</v>
      </c>
    </row>
    <row r="20" spans="1:10" x14ac:dyDescent="0.25">
      <c r="A20">
        <v>14</v>
      </c>
      <c r="B20" t="s">
        <v>4</v>
      </c>
      <c r="C20" t="s">
        <v>30</v>
      </c>
    </row>
    <row r="21" spans="1:10" x14ac:dyDescent="0.25">
      <c r="A21">
        <v>15</v>
      </c>
      <c r="B21" t="s">
        <v>4</v>
      </c>
      <c r="C21" t="s">
        <v>31</v>
      </c>
    </row>
    <row r="22" spans="1:10" x14ac:dyDescent="0.25">
      <c r="A22">
        <v>16</v>
      </c>
      <c r="B22" t="s">
        <v>4</v>
      </c>
      <c r="C22" t="s">
        <v>32</v>
      </c>
    </row>
    <row r="23" spans="1:10" x14ac:dyDescent="0.25">
      <c r="A23">
        <v>17</v>
      </c>
      <c r="B23" t="s">
        <v>4</v>
      </c>
      <c r="C23" t="s">
        <v>33</v>
      </c>
    </row>
    <row r="24" spans="1:10" x14ac:dyDescent="0.25">
      <c r="A24">
        <v>18</v>
      </c>
      <c r="B24" t="s">
        <v>4</v>
      </c>
      <c r="C24" t="s">
        <v>34</v>
      </c>
    </row>
    <row r="25" spans="1:10" x14ac:dyDescent="0.25">
      <c r="A25">
        <v>19</v>
      </c>
      <c r="B25" t="s">
        <v>4</v>
      </c>
      <c r="C25" t="s">
        <v>53</v>
      </c>
    </row>
    <row r="26" spans="1:10" x14ac:dyDescent="0.25">
      <c r="A26">
        <v>20</v>
      </c>
      <c r="B26" t="s">
        <v>4</v>
      </c>
      <c r="C26" t="s">
        <v>35</v>
      </c>
    </row>
  </sheetData>
  <pageMargins left="0.70866141732283472" right="0.70866141732283472" top="0.74803149606299213" bottom="0.74803149606299213" header="0.31496062992125984" footer="0.31496062992125984"/>
  <pageSetup paperSize="9" scale="66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workbookViewId="0"/>
  </sheetViews>
  <sheetFormatPr defaultRowHeight="15" x14ac:dyDescent="0.25"/>
  <cols>
    <col min="1" max="2" width="9.140625" style="31"/>
    <col min="3" max="3" width="13.85546875" style="31" customWidth="1"/>
    <col min="4" max="6" width="9.140625" style="31"/>
    <col min="7" max="7" width="9.5703125" style="31" customWidth="1"/>
    <col min="8" max="12" width="9.140625" style="31"/>
    <col min="13" max="13" width="11.140625" style="31" customWidth="1"/>
    <col min="14" max="16384" width="9.140625" style="31"/>
  </cols>
  <sheetData>
    <row r="1" spans="1:15" x14ac:dyDescent="0.25">
      <c r="A1" s="31" t="s">
        <v>0</v>
      </c>
      <c r="G1" s="36">
        <v>41767</v>
      </c>
      <c r="H1" s="31" t="s">
        <v>58</v>
      </c>
      <c r="N1" s="31" t="s">
        <v>65</v>
      </c>
      <c r="O1" s="31" t="s">
        <v>66</v>
      </c>
    </row>
    <row r="2" spans="1:15" x14ac:dyDescent="0.25">
      <c r="A2" s="31" t="s">
        <v>335</v>
      </c>
      <c r="D2" s="31">
        <v>55</v>
      </c>
      <c r="E2" s="31">
        <v>65</v>
      </c>
      <c r="F2" s="31">
        <v>75</v>
      </c>
      <c r="M2" s="31" t="s">
        <v>337</v>
      </c>
      <c r="N2" s="31">
        <f>LOG($F$16)</f>
        <v>6.6127838567197355</v>
      </c>
      <c r="O2" s="31">
        <f>LOG($M$16)</f>
        <v>7.2787536009528289</v>
      </c>
    </row>
    <row r="3" spans="1:15" x14ac:dyDescent="0.25">
      <c r="A3" s="31" t="s">
        <v>1</v>
      </c>
      <c r="D3" s="31">
        <v>5</v>
      </c>
      <c r="E3" s="31">
        <v>60</v>
      </c>
      <c r="M3" s="31" t="s">
        <v>338</v>
      </c>
      <c r="N3" s="31">
        <f>LOG($F$26)</f>
        <v>6.3979400086720375</v>
      </c>
      <c r="O3" s="31">
        <f>LOG($M$26)</f>
        <v>7.2304489213782741</v>
      </c>
    </row>
    <row r="4" spans="1:15" x14ac:dyDescent="0.25">
      <c r="H4" s="31" t="s">
        <v>37</v>
      </c>
      <c r="M4" s="33" t="s">
        <v>70</v>
      </c>
    </row>
    <row r="5" spans="1:15" x14ac:dyDescent="0.25">
      <c r="F5" s="31" t="s">
        <v>8</v>
      </c>
      <c r="G5" s="31" t="s">
        <v>61</v>
      </c>
      <c r="H5" s="31" t="s">
        <v>59</v>
      </c>
      <c r="M5" s="31" t="s">
        <v>59</v>
      </c>
      <c r="N5" s="31" t="s">
        <v>62</v>
      </c>
    </row>
    <row r="6" spans="1:15" x14ac:dyDescent="0.25">
      <c r="A6" s="31" t="s">
        <v>27</v>
      </c>
      <c r="C6" s="31" t="s">
        <v>28</v>
      </c>
      <c r="D6" s="31" t="s">
        <v>67</v>
      </c>
      <c r="E6" s="32" t="s">
        <v>302</v>
      </c>
      <c r="H6" s="31" t="s">
        <v>60</v>
      </c>
      <c r="I6" s="31">
        <v>-2</v>
      </c>
      <c r="J6" s="31">
        <v>-4</v>
      </c>
      <c r="K6" s="31">
        <v>-5</v>
      </c>
      <c r="L6" s="31">
        <v>-6</v>
      </c>
    </row>
    <row r="7" spans="1:15" x14ac:dyDescent="0.25">
      <c r="A7" s="31">
        <v>1</v>
      </c>
      <c r="B7" s="31" t="s">
        <v>3</v>
      </c>
      <c r="C7" s="31" t="s">
        <v>29</v>
      </c>
      <c r="D7" s="31">
        <v>1</v>
      </c>
      <c r="E7" s="31">
        <v>55</v>
      </c>
      <c r="F7" s="37">
        <v>3700000</v>
      </c>
      <c r="G7" s="31">
        <f t="shared" ref="G7:G16" si="0">LOG($F$16/F7)</f>
        <v>4.4582132652740497E-2</v>
      </c>
      <c r="J7" s="31" t="s">
        <v>63</v>
      </c>
      <c r="K7" s="31">
        <v>142</v>
      </c>
      <c r="L7" s="31">
        <v>17</v>
      </c>
      <c r="M7" s="37">
        <f>K7*100000</f>
        <v>14200000</v>
      </c>
      <c r="N7" s="31">
        <f>LOG($M$16/M7)</f>
        <v>0.12646525656977248</v>
      </c>
    </row>
    <row r="8" spans="1:15" x14ac:dyDescent="0.25">
      <c r="A8" s="31">
        <v>2</v>
      </c>
      <c r="B8" s="31" t="s">
        <v>3</v>
      </c>
      <c r="C8" s="31" t="s">
        <v>54</v>
      </c>
      <c r="D8" s="31">
        <v>1</v>
      </c>
      <c r="E8" s="31">
        <v>65</v>
      </c>
      <c r="F8" s="37">
        <v>2400000</v>
      </c>
      <c r="G8" s="31">
        <f t="shared" si="0"/>
        <v>0.23257261500812945</v>
      </c>
      <c r="J8" s="31" t="s">
        <v>63</v>
      </c>
      <c r="K8" s="31">
        <v>157</v>
      </c>
      <c r="L8" s="31">
        <v>20</v>
      </c>
      <c r="M8" s="37">
        <f>K8*100000</f>
        <v>15700000</v>
      </c>
      <c r="N8" s="31">
        <f t="shared" ref="N8:N16" si="1">LOG($M$16/M8)</f>
        <v>8.2853948543595207E-2</v>
      </c>
    </row>
    <row r="9" spans="1:15" x14ac:dyDescent="0.25">
      <c r="A9" s="31">
        <v>3</v>
      </c>
      <c r="B9" s="31" t="s">
        <v>3</v>
      </c>
      <c r="C9" s="31" t="s">
        <v>55</v>
      </c>
      <c r="D9" s="31">
        <v>1</v>
      </c>
      <c r="E9" s="31">
        <v>75</v>
      </c>
      <c r="F9" s="37">
        <v>0</v>
      </c>
      <c r="G9" s="33">
        <f>$N$2</f>
        <v>6.6127838567197355</v>
      </c>
      <c r="J9" s="31" t="s">
        <v>63</v>
      </c>
      <c r="K9" s="31">
        <v>26</v>
      </c>
      <c r="L9" s="31">
        <v>5</v>
      </c>
      <c r="M9" s="37">
        <f>K9*100000</f>
        <v>2600000</v>
      </c>
      <c r="N9" s="31">
        <f t="shared" si="1"/>
        <v>0.863780252982011</v>
      </c>
    </row>
    <row r="10" spans="1:15" x14ac:dyDescent="0.25">
      <c r="A10" s="31">
        <v>4</v>
      </c>
      <c r="B10" s="31" t="s">
        <v>3</v>
      </c>
      <c r="C10" s="31" t="s">
        <v>30</v>
      </c>
      <c r="D10" s="31">
        <v>5</v>
      </c>
      <c r="E10" s="32">
        <v>55</v>
      </c>
      <c r="F10" s="37">
        <v>2000000</v>
      </c>
      <c r="G10" s="31">
        <f t="shared" si="0"/>
        <v>0.31175386105575426</v>
      </c>
      <c r="J10" s="31" t="s">
        <v>63</v>
      </c>
      <c r="K10" s="31">
        <v>131</v>
      </c>
      <c r="L10" s="31" t="s">
        <v>64</v>
      </c>
      <c r="M10" s="37">
        <f>K10*100000</f>
        <v>13100000</v>
      </c>
      <c r="N10" s="31">
        <f t="shared" si="1"/>
        <v>0.1614823052970647</v>
      </c>
    </row>
    <row r="11" spans="1:15" x14ac:dyDescent="0.25">
      <c r="A11" s="31">
        <v>5</v>
      </c>
      <c r="B11" s="31" t="s">
        <v>3</v>
      </c>
      <c r="C11" s="31" t="s">
        <v>31</v>
      </c>
      <c r="D11" s="31">
        <v>60</v>
      </c>
      <c r="E11" s="32">
        <v>55</v>
      </c>
      <c r="F11" s="37">
        <v>1400000</v>
      </c>
      <c r="G11" s="31">
        <f t="shared" si="0"/>
        <v>0.46665582104149744</v>
      </c>
      <c r="J11" s="31" t="s">
        <v>63</v>
      </c>
      <c r="K11" s="31" t="s">
        <v>63</v>
      </c>
      <c r="L11" s="31">
        <v>25</v>
      </c>
      <c r="M11" s="37">
        <f>L11*1000000</f>
        <v>25000000</v>
      </c>
      <c r="N11" s="31">
        <f t="shared" si="1"/>
        <v>-0.11918640771920865</v>
      </c>
    </row>
    <row r="12" spans="1:15" x14ac:dyDescent="0.25">
      <c r="A12" s="31">
        <v>6</v>
      </c>
      <c r="B12" s="31" t="s">
        <v>3</v>
      </c>
      <c r="C12" s="31" t="s">
        <v>32</v>
      </c>
      <c r="D12" s="31">
        <v>5</v>
      </c>
      <c r="E12" s="32">
        <v>65</v>
      </c>
      <c r="F12" s="37">
        <v>370000</v>
      </c>
      <c r="G12" s="31">
        <f t="shared" si="0"/>
        <v>1.0445821326527405</v>
      </c>
      <c r="J12" s="31" t="s">
        <v>63</v>
      </c>
      <c r="K12" s="31">
        <v>193</v>
      </c>
      <c r="L12" s="31">
        <v>29</v>
      </c>
      <c r="M12" s="37">
        <f>K12*100000</f>
        <v>19300000</v>
      </c>
      <c r="N12" s="31">
        <f t="shared" si="1"/>
        <v>-6.8037080549448233E-3</v>
      </c>
    </row>
    <row r="13" spans="1:15" x14ac:dyDescent="0.25">
      <c r="A13" s="31">
        <v>7</v>
      </c>
      <c r="B13" s="31" t="s">
        <v>3</v>
      </c>
      <c r="C13" s="31" t="s">
        <v>33</v>
      </c>
      <c r="D13" s="31">
        <v>60</v>
      </c>
      <c r="E13" s="32">
        <v>65</v>
      </c>
      <c r="F13" s="37">
        <v>0</v>
      </c>
      <c r="G13" s="33">
        <f>$N$2</f>
        <v>6.6127838567197355</v>
      </c>
      <c r="J13" s="31" t="s">
        <v>63</v>
      </c>
      <c r="K13" s="31">
        <v>34</v>
      </c>
      <c r="L13" s="31">
        <v>2</v>
      </c>
      <c r="M13" s="37">
        <f>K13*100000</f>
        <v>3400000</v>
      </c>
      <c r="N13" s="31">
        <f t="shared" si="1"/>
        <v>0.74727468391057383</v>
      </c>
    </row>
    <row r="14" spans="1:15" x14ac:dyDescent="0.25">
      <c r="A14" s="31">
        <v>8</v>
      </c>
      <c r="B14" s="31" t="s">
        <v>3</v>
      </c>
      <c r="C14" s="31" t="s">
        <v>34</v>
      </c>
      <c r="D14" s="31">
        <v>5</v>
      </c>
      <c r="E14" s="32">
        <v>75</v>
      </c>
      <c r="F14" s="37">
        <v>0</v>
      </c>
      <c r="G14" s="33">
        <f t="shared" ref="G14:G15" si="2">$N$2</f>
        <v>6.6127838567197355</v>
      </c>
      <c r="H14" s="31" t="s">
        <v>63</v>
      </c>
      <c r="I14" s="31" t="s">
        <v>63</v>
      </c>
      <c r="J14" s="31">
        <v>72</v>
      </c>
      <c r="M14" s="37">
        <f>J14*10000</f>
        <v>720000</v>
      </c>
      <c r="N14" s="31">
        <f t="shared" si="1"/>
        <v>1.4214211045215606</v>
      </c>
    </row>
    <row r="15" spans="1:15" x14ac:dyDescent="0.25">
      <c r="A15" s="31">
        <v>9</v>
      </c>
      <c r="B15" s="31" t="s">
        <v>3</v>
      </c>
      <c r="C15" s="31" t="s">
        <v>53</v>
      </c>
      <c r="D15" s="31">
        <v>60</v>
      </c>
      <c r="E15" s="32">
        <v>75</v>
      </c>
      <c r="F15" s="37">
        <v>0</v>
      </c>
      <c r="G15" s="33">
        <f t="shared" si="2"/>
        <v>6.6127838567197355</v>
      </c>
      <c r="H15" s="31">
        <v>11</v>
      </c>
      <c r="I15" s="31">
        <v>0</v>
      </c>
      <c r="J15" s="31">
        <v>0</v>
      </c>
      <c r="M15" s="37">
        <f>H15</f>
        <v>11</v>
      </c>
      <c r="N15" s="31">
        <f t="shared" si="1"/>
        <v>6.2373609157946035</v>
      </c>
    </row>
    <row r="16" spans="1:15" x14ac:dyDescent="0.25">
      <c r="A16" s="31">
        <v>10</v>
      </c>
      <c r="B16" s="31" t="s">
        <v>3</v>
      </c>
      <c r="C16" s="31" t="s">
        <v>35</v>
      </c>
      <c r="F16" s="37">
        <v>4100000</v>
      </c>
      <c r="G16" s="31">
        <f t="shared" si="0"/>
        <v>0</v>
      </c>
      <c r="J16" s="31" t="s">
        <v>63</v>
      </c>
      <c r="K16" s="31" t="s">
        <v>63</v>
      </c>
      <c r="L16" s="31">
        <v>19</v>
      </c>
      <c r="M16" s="37">
        <f>L16*1000000</f>
        <v>19000000</v>
      </c>
      <c r="N16" s="31">
        <f t="shared" si="1"/>
        <v>0</v>
      </c>
    </row>
    <row r="17" spans="1:14" x14ac:dyDescent="0.25">
      <c r="A17" s="31">
        <v>11</v>
      </c>
      <c r="B17" s="31" t="s">
        <v>4</v>
      </c>
      <c r="C17" s="31" t="s">
        <v>29</v>
      </c>
      <c r="D17" s="31">
        <v>1</v>
      </c>
      <c r="E17" s="32">
        <v>55</v>
      </c>
      <c r="F17" s="37">
        <v>2400000</v>
      </c>
      <c r="G17" s="31">
        <f>LOG($F$26/F17)</f>
        <v>1.7728766960431616E-2</v>
      </c>
      <c r="J17" s="31" t="s">
        <v>63</v>
      </c>
      <c r="K17" s="31">
        <v>171</v>
      </c>
      <c r="L17" s="31">
        <v>16</v>
      </c>
      <c r="M17" s="37">
        <f>K17*100000</f>
        <v>17100000</v>
      </c>
      <c r="N17" s="31">
        <f>LOG($M$26/M17)</f>
        <v>-2.5471890138799315E-3</v>
      </c>
    </row>
    <row r="18" spans="1:14" x14ac:dyDescent="0.25">
      <c r="A18" s="31">
        <v>12</v>
      </c>
      <c r="B18" s="31" t="s">
        <v>4</v>
      </c>
      <c r="C18" s="31" t="s">
        <v>54</v>
      </c>
      <c r="D18" s="31">
        <v>1</v>
      </c>
      <c r="E18" s="32">
        <v>65</v>
      </c>
      <c r="F18" s="37">
        <v>1200000</v>
      </c>
      <c r="G18" s="31">
        <f>LOG($F$26/F18)</f>
        <v>0.31875876262441283</v>
      </c>
      <c r="J18" s="31" t="s">
        <v>63</v>
      </c>
      <c r="K18" s="31">
        <v>176</v>
      </c>
      <c r="L18" s="31">
        <v>21</v>
      </c>
      <c r="M18" s="37">
        <f t="shared" ref="M18:M23" si="3">K18*100000</f>
        <v>17600000</v>
      </c>
      <c r="N18" s="31">
        <f t="shared" ref="N18:N26" si="4">LOG($M$26/M18)</f>
        <v>-1.506374643587588E-2</v>
      </c>
    </row>
    <row r="19" spans="1:14" x14ac:dyDescent="0.25">
      <c r="A19" s="31">
        <v>13</v>
      </c>
      <c r="B19" s="31" t="s">
        <v>4</v>
      </c>
      <c r="C19" s="31" t="s">
        <v>55</v>
      </c>
      <c r="D19" s="31">
        <v>1</v>
      </c>
      <c r="E19" s="32">
        <v>75</v>
      </c>
      <c r="F19" s="37">
        <v>0</v>
      </c>
      <c r="G19" s="33">
        <f>$N$3</f>
        <v>6.3979400086720375</v>
      </c>
      <c r="J19" s="31" t="s">
        <v>63</v>
      </c>
      <c r="K19" s="31">
        <v>36</v>
      </c>
      <c r="L19" s="31">
        <v>0</v>
      </c>
      <c r="M19" s="37">
        <f t="shared" si="3"/>
        <v>3600000</v>
      </c>
      <c r="N19" s="31">
        <f t="shared" si="4"/>
        <v>0.67414642061098662</v>
      </c>
    </row>
    <row r="20" spans="1:14" x14ac:dyDescent="0.25">
      <c r="A20" s="31">
        <v>14</v>
      </c>
      <c r="B20" s="31" t="s">
        <v>4</v>
      </c>
      <c r="C20" s="31" t="s">
        <v>30</v>
      </c>
      <c r="D20" s="31">
        <v>5</v>
      </c>
      <c r="E20" s="32">
        <v>55</v>
      </c>
      <c r="F20" s="37">
        <v>1800000</v>
      </c>
      <c r="G20" s="31">
        <f>LOG($F$26/F20)</f>
        <v>0.14266750356873154</v>
      </c>
      <c r="J20" s="31" t="s">
        <v>63</v>
      </c>
      <c r="K20" s="31">
        <v>156</v>
      </c>
      <c r="L20" s="31">
        <v>21</v>
      </c>
      <c r="M20" s="37">
        <f t="shared" si="3"/>
        <v>15600000</v>
      </c>
      <c r="N20" s="31">
        <f t="shared" si="4"/>
        <v>3.7324323023812292E-2</v>
      </c>
    </row>
    <row r="21" spans="1:14" x14ac:dyDescent="0.25">
      <c r="A21" s="31">
        <v>15</v>
      </c>
      <c r="B21" s="31" t="s">
        <v>4</v>
      </c>
      <c r="C21" s="31" t="s">
        <v>31</v>
      </c>
      <c r="D21" s="31">
        <v>60</v>
      </c>
      <c r="E21" s="32">
        <v>55</v>
      </c>
      <c r="F21" s="37">
        <v>1400000</v>
      </c>
      <c r="G21" s="31">
        <f t="shared" ref="G21:G22" si="5">LOG($F$26/F21)</f>
        <v>0.25181197299379959</v>
      </c>
      <c r="J21" s="31" t="s">
        <v>63</v>
      </c>
      <c r="K21" s="31">
        <v>140</v>
      </c>
      <c r="L21" s="31">
        <v>16</v>
      </c>
      <c r="M21" s="37">
        <f t="shared" si="3"/>
        <v>14000000</v>
      </c>
      <c r="N21" s="31">
        <f t="shared" si="4"/>
        <v>8.4320885700035875E-2</v>
      </c>
    </row>
    <row r="22" spans="1:14" x14ac:dyDescent="0.25">
      <c r="A22" s="31">
        <v>16</v>
      </c>
      <c r="B22" s="31" t="s">
        <v>4</v>
      </c>
      <c r="C22" s="31" t="s">
        <v>32</v>
      </c>
      <c r="D22" s="31">
        <v>5</v>
      </c>
      <c r="E22" s="32">
        <v>65</v>
      </c>
      <c r="F22" s="37">
        <v>240000</v>
      </c>
      <c r="G22" s="31">
        <f t="shared" si="5"/>
        <v>1.0177287669604316</v>
      </c>
      <c r="J22" s="31" t="s">
        <v>63</v>
      </c>
      <c r="K22" s="31">
        <v>145</v>
      </c>
      <c r="L22" s="31">
        <v>16</v>
      </c>
      <c r="M22" s="37">
        <f t="shared" si="3"/>
        <v>14500000</v>
      </c>
      <c r="N22" s="31">
        <f t="shared" si="4"/>
        <v>6.9080919143299002E-2</v>
      </c>
    </row>
    <row r="23" spans="1:14" x14ac:dyDescent="0.25">
      <c r="A23" s="31">
        <v>17</v>
      </c>
      <c r="B23" s="31" t="s">
        <v>4</v>
      </c>
      <c r="C23" s="31" t="s">
        <v>33</v>
      </c>
      <c r="D23" s="31">
        <v>60</v>
      </c>
      <c r="E23" s="32">
        <v>65</v>
      </c>
      <c r="F23" s="37">
        <v>0</v>
      </c>
      <c r="G23" s="33">
        <f>$N$3</f>
        <v>6.3979400086720375</v>
      </c>
      <c r="J23" s="31" t="s">
        <v>63</v>
      </c>
      <c r="K23" s="31">
        <v>23</v>
      </c>
      <c r="L23" s="31">
        <v>3</v>
      </c>
      <c r="M23" s="37">
        <f t="shared" si="3"/>
        <v>2300000</v>
      </c>
      <c r="N23" s="31">
        <f t="shared" si="4"/>
        <v>0.86872108536068104</v>
      </c>
    </row>
    <row r="24" spans="1:14" x14ac:dyDescent="0.25">
      <c r="A24" s="31">
        <v>18</v>
      </c>
      <c r="B24" s="31" t="s">
        <v>4</v>
      </c>
      <c r="C24" s="31" t="s">
        <v>34</v>
      </c>
      <c r="D24" s="31">
        <v>5</v>
      </c>
      <c r="E24" s="32">
        <v>75</v>
      </c>
      <c r="F24" s="37">
        <v>0</v>
      </c>
      <c r="G24" s="33">
        <f t="shared" ref="G24:G25" si="6">$N$3</f>
        <v>6.3979400086720375</v>
      </c>
      <c r="H24" s="31" t="s">
        <v>63</v>
      </c>
      <c r="I24" s="31" t="s">
        <v>63</v>
      </c>
      <c r="J24" s="31">
        <v>68</v>
      </c>
      <c r="M24" s="37">
        <f>J24*10000</f>
        <v>680000</v>
      </c>
      <c r="N24" s="31">
        <f t="shared" si="4"/>
        <v>1.3979400086720377</v>
      </c>
    </row>
    <row r="25" spans="1:14" x14ac:dyDescent="0.25">
      <c r="A25" s="31">
        <v>19</v>
      </c>
      <c r="B25" s="31" t="s">
        <v>4</v>
      </c>
      <c r="C25" s="31" t="s">
        <v>53</v>
      </c>
      <c r="D25" s="31">
        <v>60</v>
      </c>
      <c r="E25" s="32">
        <v>75</v>
      </c>
      <c r="F25" s="37">
        <v>0</v>
      </c>
      <c r="G25" s="33">
        <f t="shared" si="6"/>
        <v>6.3979400086720375</v>
      </c>
      <c r="H25" s="31">
        <v>7</v>
      </c>
      <c r="I25" s="31">
        <v>1</v>
      </c>
      <c r="J25" s="31">
        <v>0</v>
      </c>
      <c r="M25" s="37">
        <f>H25</f>
        <v>7</v>
      </c>
      <c r="N25" s="31">
        <f t="shared" si="4"/>
        <v>6.3853508813640172</v>
      </c>
    </row>
    <row r="26" spans="1:14" x14ac:dyDescent="0.25">
      <c r="A26" s="31">
        <v>20</v>
      </c>
      <c r="B26" s="31" t="s">
        <v>4</v>
      </c>
      <c r="C26" s="31" t="s">
        <v>35</v>
      </c>
      <c r="F26" s="37">
        <v>2500000</v>
      </c>
      <c r="G26" s="31">
        <f>LOG($F$26/F26)</f>
        <v>0</v>
      </c>
      <c r="J26" s="31" t="s">
        <v>63</v>
      </c>
      <c r="K26" s="31">
        <v>170</v>
      </c>
      <c r="L26" s="31">
        <v>14</v>
      </c>
      <c r="M26" s="37">
        <f t="shared" ref="M26" si="7">K26*100000</f>
        <v>17000000</v>
      </c>
      <c r="N26" s="31">
        <f t="shared" si="4"/>
        <v>0</v>
      </c>
    </row>
  </sheetData>
  <pageMargins left="0.70866141732283472" right="0.70866141732283472" top="0.74803149606299213" bottom="0.74803149606299213" header="0.31496062992125984" footer="0.31496062992125984"/>
  <pageSetup paperSize="9" scale="87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workbookViewId="0"/>
  </sheetViews>
  <sheetFormatPr defaultRowHeight="15" x14ac:dyDescent="0.25"/>
  <cols>
    <col min="4" max="4" width="16.5703125" customWidth="1"/>
    <col min="6" max="6" width="18.5703125" customWidth="1"/>
    <col min="8" max="8" width="42.28515625" customWidth="1"/>
  </cols>
  <sheetData>
    <row r="1" spans="1:19" x14ac:dyDescent="0.25">
      <c r="A1" t="s">
        <v>0</v>
      </c>
      <c r="H1" s="1">
        <v>41775</v>
      </c>
    </row>
    <row r="2" spans="1:19" x14ac:dyDescent="0.25">
      <c r="A2" t="s">
        <v>335</v>
      </c>
      <c r="E2" t="s">
        <v>83</v>
      </c>
    </row>
    <row r="3" spans="1:19" x14ac:dyDescent="0.25">
      <c r="A3" t="s">
        <v>1</v>
      </c>
      <c r="E3" t="s">
        <v>82</v>
      </c>
    </row>
    <row r="4" spans="1:19" x14ac:dyDescent="0.25">
      <c r="I4" t="s">
        <v>37</v>
      </c>
      <c r="M4" s="35" t="s">
        <v>38</v>
      </c>
      <c r="N4" s="35"/>
      <c r="O4" s="35"/>
      <c r="P4" s="35" t="s">
        <v>39</v>
      </c>
      <c r="Q4" s="35"/>
      <c r="R4" s="35"/>
      <c r="S4" s="35"/>
    </row>
    <row r="5" spans="1:19" x14ac:dyDescent="0.25">
      <c r="M5" s="35"/>
      <c r="N5" s="35"/>
      <c r="O5" s="35"/>
      <c r="P5" s="35" t="s">
        <v>40</v>
      </c>
      <c r="Q5" s="35"/>
      <c r="R5" s="35"/>
      <c r="S5" s="35"/>
    </row>
    <row r="6" spans="1:19" x14ac:dyDescent="0.25">
      <c r="A6" t="s">
        <v>27</v>
      </c>
      <c r="B6" t="s">
        <v>79</v>
      </c>
      <c r="D6" t="s">
        <v>28</v>
      </c>
      <c r="F6" t="s">
        <v>56</v>
      </c>
      <c r="I6" s="35" t="s">
        <v>36</v>
      </c>
      <c r="J6" s="35"/>
      <c r="K6" s="35" t="s">
        <v>41</v>
      </c>
      <c r="L6" s="35"/>
      <c r="M6" s="35"/>
      <c r="N6" s="35"/>
      <c r="O6" s="35"/>
      <c r="P6" s="35"/>
      <c r="Q6" s="35"/>
      <c r="R6" s="35"/>
      <c r="S6" s="35"/>
    </row>
    <row r="7" spans="1:19" x14ac:dyDescent="0.25">
      <c r="A7">
        <v>1</v>
      </c>
      <c r="B7" t="s">
        <v>80</v>
      </c>
      <c r="C7" t="s">
        <v>3</v>
      </c>
      <c r="D7" t="s">
        <v>54</v>
      </c>
      <c r="F7" t="s">
        <v>72</v>
      </c>
      <c r="I7" s="35"/>
      <c r="J7" s="35"/>
      <c r="K7" s="35" t="s">
        <v>42</v>
      </c>
      <c r="L7" s="35"/>
      <c r="M7" s="35"/>
      <c r="N7" s="35"/>
      <c r="O7" s="35"/>
      <c r="P7" s="35"/>
      <c r="Q7" s="35"/>
      <c r="R7" s="35"/>
      <c r="S7" s="35"/>
    </row>
    <row r="8" spans="1:19" x14ac:dyDescent="0.25">
      <c r="A8">
        <v>2</v>
      </c>
      <c r="B8" t="s">
        <v>80</v>
      </c>
      <c r="C8" t="s">
        <v>3</v>
      </c>
      <c r="D8" t="s">
        <v>73</v>
      </c>
      <c r="I8" s="35"/>
      <c r="J8" s="35"/>
      <c r="K8" s="35" t="s">
        <v>43</v>
      </c>
      <c r="L8" s="35"/>
      <c r="M8" s="35"/>
      <c r="N8" s="35"/>
      <c r="O8" s="35"/>
      <c r="P8" s="35"/>
      <c r="Q8" s="35"/>
      <c r="R8" s="35"/>
      <c r="S8" s="35"/>
    </row>
    <row r="9" spans="1:19" x14ac:dyDescent="0.25">
      <c r="A9">
        <v>3</v>
      </c>
      <c r="B9" t="s">
        <v>80</v>
      </c>
      <c r="C9" t="s">
        <v>3</v>
      </c>
      <c r="D9" t="s">
        <v>74</v>
      </c>
    </row>
    <row r="10" spans="1:19" x14ac:dyDescent="0.25">
      <c r="A10">
        <v>4</v>
      </c>
      <c r="B10" t="s">
        <v>80</v>
      </c>
      <c r="C10" t="s">
        <v>3</v>
      </c>
      <c r="D10" t="s">
        <v>75</v>
      </c>
    </row>
    <row r="11" spans="1:19" x14ac:dyDescent="0.25">
      <c r="A11">
        <v>5</v>
      </c>
      <c r="B11" t="s">
        <v>80</v>
      </c>
      <c r="C11" t="s">
        <v>3</v>
      </c>
      <c r="D11" t="s">
        <v>55</v>
      </c>
      <c r="H11" t="s">
        <v>85</v>
      </c>
      <c r="I11" t="s">
        <v>44</v>
      </c>
      <c r="L11" t="s">
        <v>47</v>
      </c>
    </row>
    <row r="12" spans="1:19" x14ac:dyDescent="0.25">
      <c r="A12">
        <v>6</v>
      </c>
      <c r="B12" t="s">
        <v>80</v>
      </c>
      <c r="C12" t="s">
        <v>3</v>
      </c>
      <c r="D12" t="s">
        <v>76</v>
      </c>
      <c r="K12" t="s">
        <v>45</v>
      </c>
    </row>
    <row r="13" spans="1:19" x14ac:dyDescent="0.25">
      <c r="A13">
        <v>7</v>
      </c>
      <c r="B13" t="s">
        <v>80</v>
      </c>
      <c r="C13" t="s">
        <v>3</v>
      </c>
      <c r="D13" t="s">
        <v>77</v>
      </c>
      <c r="K13" t="s">
        <v>46</v>
      </c>
    </row>
    <row r="14" spans="1:19" x14ac:dyDescent="0.25">
      <c r="A14">
        <v>8</v>
      </c>
      <c r="B14" t="s">
        <v>80</v>
      </c>
      <c r="C14" t="s">
        <v>3</v>
      </c>
      <c r="D14" t="s">
        <v>78</v>
      </c>
      <c r="K14" t="s">
        <v>87</v>
      </c>
    </row>
    <row r="15" spans="1:19" x14ac:dyDescent="0.25">
      <c r="A15">
        <v>9</v>
      </c>
      <c r="B15" t="s">
        <v>80</v>
      </c>
      <c r="C15" t="s">
        <v>3</v>
      </c>
      <c r="D15" t="s">
        <v>35</v>
      </c>
    </row>
    <row r="16" spans="1:19" x14ac:dyDescent="0.25">
      <c r="A16">
        <v>10</v>
      </c>
      <c r="B16" t="s">
        <v>81</v>
      </c>
      <c r="C16" t="s">
        <v>3</v>
      </c>
      <c r="D16" t="s">
        <v>54</v>
      </c>
      <c r="K16" t="s">
        <v>49</v>
      </c>
    </row>
    <row r="17" spans="1:11" x14ac:dyDescent="0.25">
      <c r="A17">
        <v>11</v>
      </c>
      <c r="B17" t="s">
        <v>81</v>
      </c>
      <c r="C17" t="s">
        <v>3</v>
      </c>
      <c r="D17" t="s">
        <v>73</v>
      </c>
      <c r="K17" t="s">
        <v>50</v>
      </c>
    </row>
    <row r="18" spans="1:11" x14ac:dyDescent="0.25">
      <c r="A18">
        <v>12</v>
      </c>
      <c r="B18" t="s">
        <v>81</v>
      </c>
      <c r="C18" t="s">
        <v>3</v>
      </c>
      <c r="D18" t="s">
        <v>74</v>
      </c>
      <c r="K18" t="s">
        <v>84</v>
      </c>
    </row>
    <row r="19" spans="1:11" x14ac:dyDescent="0.25">
      <c r="A19">
        <v>13</v>
      </c>
      <c r="B19" t="s">
        <v>81</v>
      </c>
      <c r="C19" t="s">
        <v>3</v>
      </c>
      <c r="D19" t="s">
        <v>75</v>
      </c>
      <c r="K19" t="s">
        <v>52</v>
      </c>
    </row>
    <row r="20" spans="1:11" x14ac:dyDescent="0.25">
      <c r="A20">
        <v>14</v>
      </c>
      <c r="B20" t="s">
        <v>81</v>
      </c>
      <c r="C20" t="s">
        <v>3</v>
      </c>
      <c r="D20" t="s">
        <v>55</v>
      </c>
    </row>
    <row r="21" spans="1:11" x14ac:dyDescent="0.25">
      <c r="A21">
        <v>15</v>
      </c>
      <c r="B21" t="s">
        <v>81</v>
      </c>
      <c r="C21" t="s">
        <v>3</v>
      </c>
      <c r="D21" t="s">
        <v>76</v>
      </c>
      <c r="H21" t="s">
        <v>86</v>
      </c>
      <c r="K21" t="s">
        <v>46</v>
      </c>
    </row>
    <row r="22" spans="1:11" x14ac:dyDescent="0.25">
      <c r="A22">
        <v>16</v>
      </c>
      <c r="B22" t="s">
        <v>81</v>
      </c>
      <c r="C22" t="s">
        <v>3</v>
      </c>
      <c r="D22" t="s">
        <v>77</v>
      </c>
      <c r="K22" t="s">
        <v>87</v>
      </c>
    </row>
    <row r="23" spans="1:11" x14ac:dyDescent="0.25">
      <c r="A23">
        <v>17</v>
      </c>
      <c r="B23" t="s">
        <v>81</v>
      </c>
      <c r="C23" t="s">
        <v>3</v>
      </c>
      <c r="D23" t="s">
        <v>78</v>
      </c>
      <c r="K23" t="s">
        <v>49</v>
      </c>
    </row>
    <row r="24" spans="1:11" x14ac:dyDescent="0.25">
      <c r="A24">
        <v>18</v>
      </c>
      <c r="B24" t="s">
        <v>81</v>
      </c>
      <c r="C24" t="s">
        <v>3</v>
      </c>
      <c r="D24" t="s">
        <v>35</v>
      </c>
      <c r="K24" t="s">
        <v>88</v>
      </c>
    </row>
    <row r="25" spans="1:11" x14ac:dyDescent="0.25">
      <c r="A25">
        <v>19</v>
      </c>
      <c r="B25" t="s">
        <v>80</v>
      </c>
      <c r="C25" t="s">
        <v>4</v>
      </c>
      <c r="D25" t="s">
        <v>54</v>
      </c>
    </row>
    <row r="26" spans="1:11" x14ac:dyDescent="0.25">
      <c r="A26">
        <v>20</v>
      </c>
      <c r="B26" t="s">
        <v>80</v>
      </c>
      <c r="C26" t="s">
        <v>4</v>
      </c>
      <c r="D26" t="s">
        <v>73</v>
      </c>
    </row>
    <row r="27" spans="1:11" x14ac:dyDescent="0.25">
      <c r="A27">
        <v>21</v>
      </c>
      <c r="B27" t="s">
        <v>80</v>
      </c>
      <c r="C27" t="s">
        <v>4</v>
      </c>
      <c r="D27" t="s">
        <v>74</v>
      </c>
    </row>
    <row r="28" spans="1:11" x14ac:dyDescent="0.25">
      <c r="A28">
        <v>22</v>
      </c>
      <c r="B28" t="s">
        <v>80</v>
      </c>
      <c r="C28" t="s">
        <v>4</v>
      </c>
      <c r="D28" t="s">
        <v>75</v>
      </c>
    </row>
    <row r="29" spans="1:11" x14ac:dyDescent="0.25">
      <c r="A29">
        <v>23</v>
      </c>
      <c r="B29" t="s">
        <v>80</v>
      </c>
      <c r="C29" t="s">
        <v>4</v>
      </c>
      <c r="D29" t="s">
        <v>55</v>
      </c>
    </row>
    <row r="30" spans="1:11" x14ac:dyDescent="0.25">
      <c r="A30">
        <v>24</v>
      </c>
      <c r="B30" t="s">
        <v>80</v>
      </c>
      <c r="C30" t="s">
        <v>4</v>
      </c>
      <c r="D30" t="s">
        <v>76</v>
      </c>
    </row>
    <row r="31" spans="1:11" x14ac:dyDescent="0.25">
      <c r="A31">
        <v>25</v>
      </c>
      <c r="B31" t="s">
        <v>80</v>
      </c>
      <c r="C31" t="s">
        <v>4</v>
      </c>
      <c r="D31" t="s">
        <v>77</v>
      </c>
    </row>
    <row r="32" spans="1:11" x14ac:dyDescent="0.25">
      <c r="A32">
        <v>26</v>
      </c>
      <c r="B32" t="s">
        <v>80</v>
      </c>
      <c r="C32" t="s">
        <v>4</v>
      </c>
      <c r="D32" t="s">
        <v>78</v>
      </c>
    </row>
    <row r="33" spans="1:4" x14ac:dyDescent="0.25">
      <c r="A33">
        <v>27</v>
      </c>
      <c r="B33" t="s">
        <v>80</v>
      </c>
      <c r="C33" t="s">
        <v>4</v>
      </c>
      <c r="D33" t="s">
        <v>35</v>
      </c>
    </row>
  </sheetData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workbookViewId="0"/>
  </sheetViews>
  <sheetFormatPr defaultRowHeight="15" x14ac:dyDescent="0.25"/>
  <cols>
    <col min="1" max="2" width="9.140625" style="31"/>
    <col min="3" max="3" width="13.85546875" style="31" customWidth="1"/>
    <col min="4" max="6" width="9.140625" style="31"/>
    <col min="7" max="7" width="11" style="31" customWidth="1"/>
    <col min="8" max="16384" width="9.140625" style="31"/>
  </cols>
  <sheetData>
    <row r="1" spans="1:19" x14ac:dyDescent="0.25">
      <c r="A1" s="31" t="s">
        <v>0</v>
      </c>
      <c r="G1" s="36">
        <v>41775</v>
      </c>
      <c r="H1" s="31" t="s">
        <v>58</v>
      </c>
      <c r="O1" s="31" t="s">
        <v>66</v>
      </c>
    </row>
    <row r="2" spans="1:19" x14ac:dyDescent="0.25">
      <c r="A2" s="31" t="s">
        <v>335</v>
      </c>
      <c r="D2" s="31" t="s">
        <v>83</v>
      </c>
      <c r="M2" s="31" t="s">
        <v>91</v>
      </c>
      <c r="O2" s="31">
        <f>LOG($L$16)</f>
        <v>7.0530784434834199</v>
      </c>
      <c r="Q2" s="31" t="s">
        <v>89</v>
      </c>
      <c r="S2" s="31">
        <f>LOG($L$25)</f>
        <v>1.8512583487190752</v>
      </c>
    </row>
    <row r="3" spans="1:19" x14ac:dyDescent="0.25">
      <c r="A3" s="31" t="s">
        <v>1</v>
      </c>
      <c r="D3" s="31" t="s">
        <v>82</v>
      </c>
      <c r="M3" s="31" t="s">
        <v>90</v>
      </c>
      <c r="O3" s="31">
        <f>LOG($L$34)</f>
        <v>6.982271233039568</v>
      </c>
    </row>
    <row r="4" spans="1:19" x14ac:dyDescent="0.25">
      <c r="H4" s="31" t="s">
        <v>37</v>
      </c>
      <c r="M4" s="33" t="s">
        <v>70</v>
      </c>
      <c r="Q4" s="31" t="s">
        <v>92</v>
      </c>
    </row>
    <row r="5" spans="1:19" x14ac:dyDescent="0.25">
      <c r="M5" s="32"/>
    </row>
    <row r="6" spans="1:19" x14ac:dyDescent="0.25">
      <c r="G6" s="31" t="s">
        <v>59</v>
      </c>
      <c r="L6" s="31" t="s">
        <v>59</v>
      </c>
      <c r="M6" s="31" t="s">
        <v>62</v>
      </c>
    </row>
    <row r="7" spans="1:19" x14ac:dyDescent="0.25">
      <c r="A7" s="31" t="s">
        <v>27</v>
      </c>
      <c r="C7" s="31" t="s">
        <v>28</v>
      </c>
      <c r="D7" s="31" t="s">
        <v>67</v>
      </c>
      <c r="E7" s="32" t="s">
        <v>302</v>
      </c>
      <c r="G7" s="31" t="s">
        <v>60</v>
      </c>
      <c r="H7" s="31">
        <v>-2</v>
      </c>
      <c r="I7" s="31">
        <v>-4</v>
      </c>
      <c r="J7" s="31">
        <v>-5</v>
      </c>
      <c r="K7" s="31">
        <v>-6</v>
      </c>
    </row>
    <row r="8" spans="1:19" x14ac:dyDescent="0.25">
      <c r="A8" s="31">
        <v>1</v>
      </c>
      <c r="B8" s="31" t="s">
        <v>3</v>
      </c>
      <c r="C8" s="31" t="s">
        <v>54</v>
      </c>
      <c r="D8" s="31">
        <v>1</v>
      </c>
      <c r="E8" s="31">
        <v>65</v>
      </c>
      <c r="I8" s="31" t="s">
        <v>63</v>
      </c>
      <c r="J8" s="31">
        <v>128</v>
      </c>
      <c r="K8" s="31">
        <v>12</v>
      </c>
      <c r="L8" s="31">
        <f>J8*100000</f>
        <v>12800000</v>
      </c>
      <c r="M8" s="31">
        <f>LOG($L$16/L8)</f>
        <v>-5.4131526164448641E-2</v>
      </c>
      <c r="O8" s="31" t="s">
        <v>71</v>
      </c>
    </row>
    <row r="9" spans="1:19" x14ac:dyDescent="0.25">
      <c r="A9" s="31">
        <v>2</v>
      </c>
      <c r="B9" s="31" t="s">
        <v>3</v>
      </c>
      <c r="C9" s="31" t="s">
        <v>73</v>
      </c>
      <c r="D9" s="31">
        <v>5</v>
      </c>
      <c r="E9" s="31">
        <v>65</v>
      </c>
      <c r="I9" s="31" t="s">
        <v>63</v>
      </c>
      <c r="J9" s="31">
        <v>127</v>
      </c>
      <c r="K9" s="31">
        <v>16</v>
      </c>
      <c r="L9" s="31">
        <f>J9*100000</f>
        <v>12700000</v>
      </c>
      <c r="M9" s="31">
        <f t="shared" ref="M9:M16" si="0">LOG($L$16/L9)</f>
        <v>-5.0725277472537154E-2</v>
      </c>
      <c r="O9" s="31" t="s">
        <v>93</v>
      </c>
    </row>
    <row r="10" spans="1:19" x14ac:dyDescent="0.25">
      <c r="A10" s="31">
        <v>3</v>
      </c>
      <c r="B10" s="31" t="s">
        <v>3</v>
      </c>
      <c r="C10" s="31" t="s">
        <v>74</v>
      </c>
      <c r="D10" s="31">
        <v>30</v>
      </c>
      <c r="E10" s="31">
        <v>65</v>
      </c>
      <c r="F10" s="32"/>
      <c r="I10" s="31" t="s">
        <v>63</v>
      </c>
      <c r="J10" s="31">
        <v>92</v>
      </c>
      <c r="K10" s="31">
        <v>12</v>
      </c>
      <c r="L10" s="31">
        <f>J10*100000</f>
        <v>9200000</v>
      </c>
      <c r="M10" s="31">
        <f t="shared" si="0"/>
        <v>8.9290616137864418E-2</v>
      </c>
      <c r="O10" s="31" t="s">
        <v>94</v>
      </c>
    </row>
    <row r="11" spans="1:19" x14ac:dyDescent="0.25">
      <c r="A11" s="31">
        <v>4</v>
      </c>
      <c r="B11" s="31" t="s">
        <v>3</v>
      </c>
      <c r="C11" s="31" t="s">
        <v>75</v>
      </c>
      <c r="D11" s="31">
        <v>60</v>
      </c>
      <c r="E11" s="31">
        <v>65</v>
      </c>
      <c r="F11" s="32"/>
      <c r="I11" s="31">
        <v>172</v>
      </c>
      <c r="J11" s="31">
        <v>13</v>
      </c>
      <c r="K11" s="31">
        <v>3</v>
      </c>
      <c r="L11" s="31">
        <f>I11*10000</f>
        <v>1720000</v>
      </c>
      <c r="M11" s="31">
        <f t="shared" si="0"/>
        <v>0.8175499965758708</v>
      </c>
    </row>
    <row r="12" spans="1:19" x14ac:dyDescent="0.25">
      <c r="A12" s="31">
        <v>5</v>
      </c>
      <c r="B12" s="31" t="s">
        <v>3</v>
      </c>
      <c r="C12" s="31" t="s">
        <v>55</v>
      </c>
      <c r="D12" s="31">
        <v>1</v>
      </c>
      <c r="E12" s="31">
        <v>75</v>
      </c>
      <c r="F12" s="32"/>
      <c r="I12" s="31" t="s">
        <v>63</v>
      </c>
      <c r="J12" s="31">
        <v>26</v>
      </c>
      <c r="K12" s="31">
        <v>6</v>
      </c>
      <c r="L12" s="31">
        <f>J12*100000</f>
        <v>2600000</v>
      </c>
      <c r="M12" s="31">
        <f t="shared" si="0"/>
        <v>0.63810509551260175</v>
      </c>
    </row>
    <row r="13" spans="1:19" x14ac:dyDescent="0.25">
      <c r="A13" s="31">
        <v>6</v>
      </c>
      <c r="B13" s="31" t="s">
        <v>3</v>
      </c>
      <c r="C13" s="31" t="s">
        <v>76</v>
      </c>
      <c r="D13" s="31">
        <v>5</v>
      </c>
      <c r="E13" s="31">
        <v>75</v>
      </c>
      <c r="F13" s="32"/>
      <c r="G13" s="31" t="s">
        <v>63</v>
      </c>
      <c r="H13" s="31" t="s">
        <v>63</v>
      </c>
      <c r="I13" s="31">
        <v>101</v>
      </c>
      <c r="L13" s="31">
        <f>I13*10000</f>
        <v>1010000</v>
      </c>
      <c r="M13" s="31">
        <f t="shared" si="0"/>
        <v>1.0487570697007771</v>
      </c>
    </row>
    <row r="14" spans="1:19" x14ac:dyDescent="0.25">
      <c r="A14" s="31">
        <v>7</v>
      </c>
      <c r="B14" s="31" t="s">
        <v>3</v>
      </c>
      <c r="C14" s="31" t="s">
        <v>77</v>
      </c>
      <c r="D14" s="31">
        <v>30</v>
      </c>
      <c r="E14" s="31">
        <v>75</v>
      </c>
      <c r="F14" s="32"/>
      <c r="G14" s="31">
        <v>31</v>
      </c>
      <c r="H14" s="31">
        <v>0</v>
      </c>
      <c r="I14" s="31">
        <v>0</v>
      </c>
      <c r="L14" s="31">
        <f>G14</f>
        <v>31</v>
      </c>
      <c r="M14" s="31">
        <f t="shared" si="0"/>
        <v>5.5617167496491469</v>
      </c>
    </row>
    <row r="15" spans="1:19" x14ac:dyDescent="0.25">
      <c r="A15" s="31">
        <v>8</v>
      </c>
      <c r="B15" s="31" t="s">
        <v>3</v>
      </c>
      <c r="C15" s="31" t="s">
        <v>78</v>
      </c>
      <c r="D15" s="31">
        <v>60</v>
      </c>
      <c r="E15" s="31">
        <v>75</v>
      </c>
      <c r="F15" s="32"/>
      <c r="G15" s="31">
        <v>0</v>
      </c>
      <c r="H15" s="31">
        <v>0</v>
      </c>
      <c r="I15" s="31">
        <v>0</v>
      </c>
      <c r="L15" s="31">
        <f>I15*10000</f>
        <v>0</v>
      </c>
      <c r="M15" s="33">
        <f>O2</f>
        <v>7.0530784434834199</v>
      </c>
    </row>
    <row r="16" spans="1:19" x14ac:dyDescent="0.25">
      <c r="A16" s="31">
        <v>9</v>
      </c>
      <c r="B16" s="31" t="s">
        <v>3</v>
      </c>
      <c r="C16" s="31" t="s">
        <v>35</v>
      </c>
      <c r="F16" s="32"/>
      <c r="I16" s="31" t="s">
        <v>63</v>
      </c>
      <c r="J16" s="31">
        <v>113</v>
      </c>
      <c r="K16" s="31">
        <v>11</v>
      </c>
      <c r="L16" s="31">
        <f>J16*100000</f>
        <v>11300000</v>
      </c>
      <c r="M16" s="31">
        <f t="shared" si="0"/>
        <v>0</v>
      </c>
    </row>
    <row r="17" spans="1:13" x14ac:dyDescent="0.25">
      <c r="A17" s="31">
        <v>10</v>
      </c>
      <c r="B17" s="31" t="s">
        <v>3</v>
      </c>
      <c r="C17" s="31" t="s">
        <v>54</v>
      </c>
      <c r="D17" s="31">
        <v>1</v>
      </c>
      <c r="E17" s="31">
        <v>65</v>
      </c>
      <c r="F17" s="32"/>
      <c r="G17" s="31">
        <v>80</v>
      </c>
      <c r="H17" s="31">
        <v>4</v>
      </c>
      <c r="I17" s="31">
        <v>1</v>
      </c>
      <c r="L17" s="31">
        <f>G17</f>
        <v>80</v>
      </c>
      <c r="M17" s="31">
        <f>LOG($L$25/L17)</f>
        <v>-5.1831638272868324E-2</v>
      </c>
    </row>
    <row r="18" spans="1:13" x14ac:dyDescent="0.25">
      <c r="A18" s="31">
        <v>11</v>
      </c>
      <c r="B18" s="31" t="s">
        <v>3</v>
      </c>
      <c r="C18" s="31" t="s">
        <v>73</v>
      </c>
      <c r="D18" s="31">
        <v>5</v>
      </c>
      <c r="E18" s="31">
        <v>65</v>
      </c>
      <c r="F18" s="32"/>
      <c r="G18" s="31">
        <v>72</v>
      </c>
      <c r="H18" s="31">
        <v>6</v>
      </c>
      <c r="I18" s="31">
        <v>1</v>
      </c>
      <c r="L18" s="31">
        <f t="shared" ref="L18:L25" si="1">G18</f>
        <v>72</v>
      </c>
      <c r="M18" s="31">
        <f t="shared" ref="M18:M25" si="2">LOG($L$25/L18)</f>
        <v>-6.0741477121931528E-3</v>
      </c>
    </row>
    <row r="19" spans="1:13" x14ac:dyDescent="0.25">
      <c r="A19" s="31">
        <v>12</v>
      </c>
      <c r="B19" s="31" t="s">
        <v>3</v>
      </c>
      <c r="C19" s="31" t="s">
        <v>74</v>
      </c>
      <c r="D19" s="31">
        <v>30</v>
      </c>
      <c r="E19" s="31">
        <v>65</v>
      </c>
      <c r="F19" s="32"/>
      <c r="G19" s="31">
        <v>33</v>
      </c>
      <c r="H19" s="31">
        <v>1</v>
      </c>
      <c r="I19" s="31">
        <v>0</v>
      </c>
      <c r="L19" s="31">
        <f t="shared" si="1"/>
        <v>33</v>
      </c>
      <c r="M19" s="31">
        <f t="shared" si="2"/>
        <v>0.33274440884118778</v>
      </c>
    </row>
    <row r="20" spans="1:13" x14ac:dyDescent="0.25">
      <c r="A20" s="31">
        <v>13</v>
      </c>
      <c r="B20" s="31" t="s">
        <v>3</v>
      </c>
      <c r="C20" s="31" t="s">
        <v>75</v>
      </c>
      <c r="D20" s="31">
        <v>60</v>
      </c>
      <c r="E20" s="31">
        <v>65</v>
      </c>
      <c r="F20" s="32"/>
      <c r="G20" s="31">
        <v>15</v>
      </c>
      <c r="H20" s="31">
        <v>0</v>
      </c>
      <c r="I20" s="31">
        <v>0</v>
      </c>
      <c r="L20" s="31">
        <f t="shared" si="1"/>
        <v>15</v>
      </c>
      <c r="M20" s="31">
        <f t="shared" si="2"/>
        <v>0.675167089663394</v>
      </c>
    </row>
    <row r="21" spans="1:13" x14ac:dyDescent="0.25">
      <c r="A21" s="31">
        <v>14</v>
      </c>
      <c r="B21" s="31" t="s">
        <v>3</v>
      </c>
      <c r="C21" s="31" t="s">
        <v>55</v>
      </c>
      <c r="D21" s="31">
        <v>1</v>
      </c>
      <c r="E21" s="31">
        <v>75</v>
      </c>
      <c r="F21" s="32"/>
      <c r="G21" s="31">
        <v>32</v>
      </c>
      <c r="H21" s="31">
        <v>2</v>
      </c>
      <c r="I21" s="31">
        <v>1</v>
      </c>
      <c r="L21" s="31">
        <f t="shared" si="1"/>
        <v>32</v>
      </c>
      <c r="M21" s="31">
        <f t="shared" si="2"/>
        <v>0.34610837039916931</v>
      </c>
    </row>
    <row r="22" spans="1:13" x14ac:dyDescent="0.25">
      <c r="A22" s="31">
        <v>15</v>
      </c>
      <c r="B22" s="31" t="s">
        <v>3</v>
      </c>
      <c r="C22" s="31" t="s">
        <v>76</v>
      </c>
      <c r="D22" s="31">
        <v>5</v>
      </c>
      <c r="E22" s="31">
        <v>75</v>
      </c>
      <c r="F22" s="32"/>
      <c r="G22" s="31">
        <v>25</v>
      </c>
      <c r="H22" s="31">
        <v>1</v>
      </c>
      <c r="I22" s="31">
        <v>0</v>
      </c>
      <c r="L22" s="31">
        <f t="shared" si="1"/>
        <v>25</v>
      </c>
      <c r="M22" s="31">
        <f t="shared" si="2"/>
        <v>0.45331834004703764</v>
      </c>
    </row>
    <row r="23" spans="1:13" x14ac:dyDescent="0.25">
      <c r="A23" s="31">
        <v>16</v>
      </c>
      <c r="B23" s="31" t="s">
        <v>3</v>
      </c>
      <c r="C23" s="31" t="s">
        <v>77</v>
      </c>
      <c r="D23" s="31">
        <v>30</v>
      </c>
      <c r="E23" s="31">
        <v>75</v>
      </c>
      <c r="F23" s="32"/>
      <c r="G23" s="31">
        <v>3</v>
      </c>
      <c r="H23" s="31">
        <v>2</v>
      </c>
      <c r="I23" s="31">
        <v>0</v>
      </c>
      <c r="L23" s="31">
        <f t="shared" si="1"/>
        <v>3</v>
      </c>
      <c r="M23" s="31">
        <f t="shared" si="2"/>
        <v>1.3741370939994129</v>
      </c>
    </row>
    <row r="24" spans="1:13" x14ac:dyDescent="0.25">
      <c r="A24" s="31">
        <v>17</v>
      </c>
      <c r="B24" s="31" t="s">
        <v>3</v>
      </c>
      <c r="C24" s="31" t="s">
        <v>78</v>
      </c>
      <c r="D24" s="31">
        <v>60</v>
      </c>
      <c r="E24" s="31">
        <v>75</v>
      </c>
      <c r="F24" s="32"/>
      <c r="G24" s="31">
        <v>2</v>
      </c>
      <c r="H24" s="31">
        <v>0</v>
      </c>
      <c r="I24" s="31">
        <v>0</v>
      </c>
      <c r="L24" s="31">
        <f t="shared" si="1"/>
        <v>2</v>
      </c>
      <c r="M24" s="31">
        <f t="shared" si="2"/>
        <v>1.550228353055094</v>
      </c>
    </row>
    <row r="25" spans="1:13" x14ac:dyDescent="0.25">
      <c r="A25" s="31">
        <v>18</v>
      </c>
      <c r="B25" s="31" t="s">
        <v>3</v>
      </c>
      <c r="C25" s="31" t="s">
        <v>35</v>
      </c>
      <c r="F25" s="32"/>
      <c r="G25" s="31">
        <v>71</v>
      </c>
      <c r="H25" s="31">
        <v>5</v>
      </c>
      <c r="I25" s="31">
        <v>0</v>
      </c>
      <c r="L25" s="31">
        <f t="shared" si="1"/>
        <v>71</v>
      </c>
      <c r="M25" s="31">
        <f t="shared" si="2"/>
        <v>0</v>
      </c>
    </row>
    <row r="26" spans="1:13" x14ac:dyDescent="0.25">
      <c r="A26" s="31">
        <v>19</v>
      </c>
      <c r="B26" s="31" t="s">
        <v>4</v>
      </c>
      <c r="C26" s="31" t="s">
        <v>54</v>
      </c>
      <c r="D26" s="31">
        <v>1</v>
      </c>
      <c r="E26" s="31">
        <v>65</v>
      </c>
      <c r="F26" s="32"/>
      <c r="I26" s="31" t="s">
        <v>63</v>
      </c>
      <c r="J26" s="31">
        <v>133</v>
      </c>
      <c r="K26" s="31">
        <v>12</v>
      </c>
      <c r="L26" s="31">
        <f>J26*100000</f>
        <v>13300000</v>
      </c>
      <c r="M26" s="31">
        <f>LOG($L$34/L26)</f>
        <v>-0.14158040792751742</v>
      </c>
    </row>
    <row r="27" spans="1:13" x14ac:dyDescent="0.25">
      <c r="A27" s="31">
        <v>20</v>
      </c>
      <c r="B27" s="31" t="s">
        <v>4</v>
      </c>
      <c r="C27" s="31" t="s">
        <v>73</v>
      </c>
      <c r="D27" s="31">
        <v>5</v>
      </c>
      <c r="E27" s="31">
        <v>65</v>
      </c>
      <c r="I27" s="31" t="s">
        <v>63</v>
      </c>
      <c r="J27" s="31">
        <v>104</v>
      </c>
      <c r="K27" s="31">
        <v>9</v>
      </c>
      <c r="L27" s="31">
        <f t="shared" ref="L27:L30" si="3">J27*100000</f>
        <v>10400000</v>
      </c>
      <c r="M27" s="31">
        <f t="shared" ref="M27:M34" si="4">LOG($L$34/L27)</f>
        <v>-3.4762106259211917E-2</v>
      </c>
    </row>
    <row r="28" spans="1:13" x14ac:dyDescent="0.25">
      <c r="A28" s="31">
        <v>21</v>
      </c>
      <c r="B28" s="31" t="s">
        <v>4</v>
      </c>
      <c r="C28" s="31" t="s">
        <v>74</v>
      </c>
      <c r="D28" s="31">
        <v>30</v>
      </c>
      <c r="E28" s="31">
        <v>65</v>
      </c>
      <c r="I28" s="31" t="s">
        <v>63</v>
      </c>
      <c r="J28" s="31">
        <v>67</v>
      </c>
      <c r="K28" s="31">
        <v>8</v>
      </c>
      <c r="L28" s="31">
        <f t="shared" si="3"/>
        <v>6700000</v>
      </c>
      <c r="M28" s="31">
        <f t="shared" si="4"/>
        <v>0.15619643033874195</v>
      </c>
    </row>
    <row r="29" spans="1:13" x14ac:dyDescent="0.25">
      <c r="A29" s="31">
        <v>22</v>
      </c>
      <c r="B29" s="31" t="s">
        <v>4</v>
      </c>
      <c r="C29" s="31" t="s">
        <v>75</v>
      </c>
      <c r="D29" s="31">
        <v>60</v>
      </c>
      <c r="E29" s="31">
        <v>65</v>
      </c>
      <c r="I29" s="31">
        <v>210</v>
      </c>
      <c r="J29" s="31">
        <v>20</v>
      </c>
      <c r="K29" s="31">
        <v>3</v>
      </c>
      <c r="L29" s="31">
        <f>I29*10000</f>
        <v>2100000</v>
      </c>
      <c r="M29" s="31">
        <f t="shared" si="4"/>
        <v>0.66005193830564912</v>
      </c>
    </row>
    <row r="30" spans="1:13" x14ac:dyDescent="0.25">
      <c r="A30" s="31">
        <v>23</v>
      </c>
      <c r="B30" s="31" t="s">
        <v>4</v>
      </c>
      <c r="C30" s="31" t="s">
        <v>55</v>
      </c>
      <c r="D30" s="31">
        <v>1</v>
      </c>
      <c r="E30" s="31">
        <v>75</v>
      </c>
      <c r="I30" s="31" t="s">
        <v>63</v>
      </c>
      <c r="J30" s="31">
        <v>58</v>
      </c>
      <c r="K30" s="31">
        <v>4</v>
      </c>
      <c r="L30" s="31">
        <f t="shared" si="3"/>
        <v>5800000</v>
      </c>
      <c r="M30" s="31">
        <f t="shared" si="4"/>
        <v>0.21884323947663112</v>
      </c>
    </row>
    <row r="31" spans="1:13" x14ac:dyDescent="0.25">
      <c r="A31" s="31">
        <v>24</v>
      </c>
      <c r="B31" s="31" t="s">
        <v>4</v>
      </c>
      <c r="C31" s="31" t="s">
        <v>76</v>
      </c>
      <c r="D31" s="31">
        <v>5</v>
      </c>
      <c r="E31" s="31">
        <v>75</v>
      </c>
      <c r="G31" s="31" t="s">
        <v>63</v>
      </c>
      <c r="H31" s="31" t="s">
        <v>63</v>
      </c>
      <c r="I31" s="31">
        <v>87</v>
      </c>
      <c r="L31" s="31">
        <f>I31*10000</f>
        <v>870000</v>
      </c>
      <c r="M31" s="31">
        <f t="shared" si="4"/>
        <v>1.04275198042095</v>
      </c>
    </row>
    <row r="32" spans="1:13" x14ac:dyDescent="0.25">
      <c r="A32" s="31">
        <v>25</v>
      </c>
      <c r="B32" s="31" t="s">
        <v>4</v>
      </c>
      <c r="C32" s="31" t="s">
        <v>77</v>
      </c>
      <c r="D32" s="31">
        <v>30</v>
      </c>
      <c r="E32" s="31">
        <v>75</v>
      </c>
      <c r="G32" s="31">
        <v>21</v>
      </c>
      <c r="H32" s="31">
        <v>2</v>
      </c>
      <c r="I32" s="31">
        <v>0</v>
      </c>
      <c r="L32" s="31">
        <f>G32</f>
        <v>21</v>
      </c>
      <c r="M32" s="31">
        <f t="shared" si="4"/>
        <v>5.6600519383056493</v>
      </c>
    </row>
    <row r="33" spans="1:13" x14ac:dyDescent="0.25">
      <c r="A33" s="31">
        <v>26</v>
      </c>
      <c r="B33" s="31" t="s">
        <v>4</v>
      </c>
      <c r="C33" s="31" t="s">
        <v>78</v>
      </c>
      <c r="D33" s="31">
        <v>60</v>
      </c>
      <c r="E33" s="31">
        <v>75</v>
      </c>
      <c r="G33" s="31">
        <v>0</v>
      </c>
      <c r="H33" s="31">
        <v>0</v>
      </c>
      <c r="I33" s="31">
        <v>0</v>
      </c>
      <c r="L33" s="31">
        <f>G33</f>
        <v>0</v>
      </c>
      <c r="M33" s="33">
        <f>O3</f>
        <v>6.982271233039568</v>
      </c>
    </row>
    <row r="34" spans="1:13" x14ac:dyDescent="0.25">
      <c r="A34" s="31">
        <v>27</v>
      </c>
      <c r="B34" s="31" t="s">
        <v>4</v>
      </c>
      <c r="C34" s="31" t="s">
        <v>35</v>
      </c>
      <c r="I34" s="31" t="s">
        <v>63</v>
      </c>
      <c r="J34" s="31">
        <v>96</v>
      </c>
      <c r="K34" s="31">
        <v>5</v>
      </c>
      <c r="L34" s="31">
        <f t="shared" ref="L34" si="5">J34*100000</f>
        <v>9600000</v>
      </c>
      <c r="M34" s="31">
        <f t="shared" si="4"/>
        <v>0</v>
      </c>
    </row>
  </sheetData>
  <pageMargins left="0.70866141732283472" right="0.70866141732283472" top="0.74803149606299213" bottom="0.74803149606299213" header="0.31496062992125984" footer="0.31496062992125984"/>
  <pageSetup paperSize="9" scale="6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0"/>
  <sheetViews>
    <sheetView workbookViewId="0"/>
  </sheetViews>
  <sheetFormatPr defaultRowHeight="15" x14ac:dyDescent="0.25"/>
  <cols>
    <col min="1" max="1" width="10.42578125" style="31" customWidth="1"/>
    <col min="2" max="2" width="9.140625" style="31"/>
    <col min="3" max="3" width="13.85546875" style="31" customWidth="1"/>
    <col min="4" max="4" width="9.140625" style="31"/>
    <col min="5" max="6" width="9.140625" style="31" customWidth="1"/>
    <col min="7" max="7" width="11" style="31" customWidth="1"/>
    <col min="8" max="11" width="9.140625" style="31" customWidth="1"/>
    <col min="12" max="12" width="10.7109375" style="31" bestFit="1" customWidth="1"/>
    <col min="13" max="13" width="9.140625" style="31"/>
    <col min="14" max="14" width="11" style="31" customWidth="1"/>
    <col min="15" max="24" width="9.140625" style="31"/>
    <col min="25" max="25" width="31.28515625" style="31" customWidth="1"/>
    <col min="26" max="16384" width="9.140625" style="31"/>
  </cols>
  <sheetData>
    <row r="1" spans="1:28" x14ac:dyDescent="0.25">
      <c r="A1" s="31" t="s">
        <v>0</v>
      </c>
      <c r="G1" s="36">
        <v>41835</v>
      </c>
      <c r="H1" s="31" t="s">
        <v>58</v>
      </c>
      <c r="L1" s="36"/>
      <c r="P1" s="31" t="s">
        <v>66</v>
      </c>
    </row>
    <row r="2" spans="1:28" x14ac:dyDescent="0.25">
      <c r="A2" s="31" t="s">
        <v>335</v>
      </c>
      <c r="D2" s="31" t="s">
        <v>83</v>
      </c>
      <c r="N2" s="31" t="s">
        <v>91</v>
      </c>
      <c r="P2" s="31">
        <f>LOG10(AVERAGE(M25:M27))</f>
        <v>6.2321487062561687</v>
      </c>
    </row>
    <row r="3" spans="1:28" x14ac:dyDescent="0.25">
      <c r="A3" s="31" t="s">
        <v>1</v>
      </c>
      <c r="D3" s="31" t="s">
        <v>231</v>
      </c>
    </row>
    <row r="4" spans="1:28" x14ac:dyDescent="0.25">
      <c r="H4" s="31" t="s">
        <v>37</v>
      </c>
      <c r="N4" s="33" t="s">
        <v>70</v>
      </c>
    </row>
    <row r="5" spans="1:28" x14ac:dyDescent="0.25">
      <c r="G5" s="31" t="s">
        <v>59</v>
      </c>
      <c r="M5" s="31" t="s">
        <v>59</v>
      </c>
      <c r="Y5" s="31" t="s">
        <v>284</v>
      </c>
    </row>
    <row r="6" spans="1:28" x14ac:dyDescent="0.25">
      <c r="A6" s="31" t="s">
        <v>27</v>
      </c>
      <c r="C6" s="31" t="s">
        <v>28</v>
      </c>
      <c r="D6" s="31" t="s">
        <v>67</v>
      </c>
      <c r="G6" s="31" t="s">
        <v>60</v>
      </c>
      <c r="H6" s="31">
        <v>-2</v>
      </c>
      <c r="I6" s="31">
        <v>-4</v>
      </c>
      <c r="J6" s="31">
        <v>-5</v>
      </c>
      <c r="K6" s="31">
        <v>-6</v>
      </c>
      <c r="L6" s="31" t="s">
        <v>303</v>
      </c>
      <c r="N6" s="31" t="s">
        <v>339</v>
      </c>
      <c r="O6" s="31" t="s">
        <v>129</v>
      </c>
      <c r="Y6" s="31" t="s">
        <v>266</v>
      </c>
      <c r="Z6" s="31" t="s">
        <v>267</v>
      </c>
    </row>
    <row r="7" spans="1:28" x14ac:dyDescent="0.25">
      <c r="A7" s="31">
        <v>1</v>
      </c>
      <c r="B7" s="31" t="s">
        <v>3</v>
      </c>
      <c r="C7" s="31" t="s">
        <v>73</v>
      </c>
      <c r="D7" s="31">
        <v>5</v>
      </c>
      <c r="I7" s="31">
        <v>167</v>
      </c>
      <c r="L7" s="31">
        <v>65</v>
      </c>
      <c r="M7" s="31">
        <f>I7*10000</f>
        <v>1670000</v>
      </c>
      <c r="N7" s="31">
        <f>LOG10(M7)</f>
        <v>6.2227164711475833</v>
      </c>
      <c r="O7" s="31">
        <f>$S$11-N7</f>
        <v>9.0403978934654461E-3</v>
      </c>
      <c r="P7" s="31" t="s">
        <v>71</v>
      </c>
      <c r="Z7" s="31" t="s">
        <v>60</v>
      </c>
      <c r="AA7" s="31">
        <v>-2</v>
      </c>
      <c r="AB7" s="31">
        <v>-4</v>
      </c>
    </row>
    <row r="8" spans="1:28" x14ac:dyDescent="0.25">
      <c r="A8" s="31">
        <v>2</v>
      </c>
      <c r="B8" s="31" t="s">
        <v>3</v>
      </c>
      <c r="C8" s="31" t="s">
        <v>74</v>
      </c>
      <c r="D8" s="31">
        <v>30</v>
      </c>
      <c r="I8" s="31">
        <v>80</v>
      </c>
      <c r="L8" s="31">
        <v>65</v>
      </c>
      <c r="M8" s="31">
        <f t="shared" ref="M8:M16" si="0">I8*10000</f>
        <v>800000</v>
      </c>
      <c r="N8" s="31">
        <f t="shared" ref="N8:N27" si="1">LOG10(M8)</f>
        <v>5.9030899869919438</v>
      </c>
      <c r="O8" s="31">
        <f t="shared" ref="O8:O24" si="2">$S$11-N8</f>
        <v>0.32866688204910499</v>
      </c>
      <c r="P8" s="31" t="s">
        <v>93</v>
      </c>
      <c r="Y8" s="31" t="s">
        <v>272</v>
      </c>
      <c r="Z8" s="31" t="s">
        <v>191</v>
      </c>
      <c r="AA8" s="31" t="s">
        <v>191</v>
      </c>
      <c r="AB8" s="31">
        <v>25</v>
      </c>
    </row>
    <row r="9" spans="1:28" x14ac:dyDescent="0.25">
      <c r="A9" s="31">
        <v>3</v>
      </c>
      <c r="B9" s="31" t="s">
        <v>3</v>
      </c>
      <c r="C9" s="31" t="s">
        <v>75</v>
      </c>
      <c r="D9" s="31">
        <v>60</v>
      </c>
      <c r="F9" s="32"/>
      <c r="I9" s="31">
        <v>13</v>
      </c>
      <c r="L9" s="31">
        <v>65</v>
      </c>
      <c r="M9" s="31">
        <f t="shared" si="0"/>
        <v>130000</v>
      </c>
      <c r="N9" s="31">
        <f t="shared" si="1"/>
        <v>5.1139433523068369</v>
      </c>
      <c r="O9" s="31">
        <f t="shared" si="2"/>
        <v>1.1178135167342118</v>
      </c>
      <c r="P9" s="31" t="s">
        <v>94</v>
      </c>
      <c r="Y9" s="31" t="s">
        <v>273</v>
      </c>
      <c r="Z9" s="31">
        <v>0</v>
      </c>
      <c r="AA9" s="31">
        <v>1</v>
      </c>
      <c r="AB9" s="31">
        <v>0</v>
      </c>
    </row>
    <row r="10" spans="1:28" x14ac:dyDescent="0.25">
      <c r="A10" s="31">
        <v>4</v>
      </c>
      <c r="B10" s="31" t="s">
        <v>3</v>
      </c>
      <c r="C10" s="31" t="s">
        <v>73</v>
      </c>
      <c r="D10" s="31">
        <v>5</v>
      </c>
      <c r="F10" s="32"/>
      <c r="I10" s="31">
        <v>121</v>
      </c>
      <c r="L10" s="31">
        <v>65</v>
      </c>
      <c r="M10" s="31">
        <f t="shared" si="0"/>
        <v>1210000</v>
      </c>
      <c r="N10" s="31">
        <f t="shared" si="1"/>
        <v>6.0827853703164498</v>
      </c>
      <c r="O10" s="31">
        <f t="shared" si="2"/>
        <v>0.14897149872459892</v>
      </c>
      <c r="R10" s="31" t="s">
        <v>340</v>
      </c>
      <c r="S10" s="31" t="s">
        <v>232</v>
      </c>
      <c r="T10" s="31" t="s">
        <v>167</v>
      </c>
      <c r="Y10" s="31" t="s">
        <v>274</v>
      </c>
      <c r="Z10" s="31">
        <v>0</v>
      </c>
      <c r="AA10" s="31">
        <v>0</v>
      </c>
      <c r="AB10" s="31">
        <v>0</v>
      </c>
    </row>
    <row r="11" spans="1:28" x14ac:dyDescent="0.25">
      <c r="A11" s="31">
        <v>5</v>
      </c>
      <c r="B11" s="31" t="s">
        <v>3</v>
      </c>
      <c r="C11" s="31" t="s">
        <v>74</v>
      </c>
      <c r="D11" s="31">
        <v>30</v>
      </c>
      <c r="F11" s="32"/>
      <c r="I11" s="31">
        <v>78</v>
      </c>
      <c r="L11" s="32">
        <v>65</v>
      </c>
      <c r="M11" s="31">
        <f t="shared" si="0"/>
        <v>780000</v>
      </c>
      <c r="N11" s="31">
        <f t="shared" si="1"/>
        <v>5.8920946026904808</v>
      </c>
      <c r="O11" s="31">
        <f t="shared" si="2"/>
        <v>0.33966226635056795</v>
      </c>
      <c r="Q11" s="31" t="s">
        <v>35</v>
      </c>
      <c r="R11" s="31">
        <v>0</v>
      </c>
      <c r="S11" s="31">
        <f>AVERAGE(N25:N27)</f>
        <v>6.2317568690410488</v>
      </c>
      <c r="T11" s="31">
        <f>STDEV(N25:N27)</f>
        <v>2.2487166506373921E-2</v>
      </c>
      <c r="Y11" s="31" t="s">
        <v>275</v>
      </c>
      <c r="Z11" s="31" t="s">
        <v>191</v>
      </c>
      <c r="AA11" s="31" t="s">
        <v>191</v>
      </c>
      <c r="AB11" s="31">
        <v>26</v>
      </c>
    </row>
    <row r="12" spans="1:28" x14ac:dyDescent="0.25">
      <c r="A12" s="31">
        <v>6</v>
      </c>
      <c r="B12" s="31" t="s">
        <v>3</v>
      </c>
      <c r="C12" s="31" t="s">
        <v>75</v>
      </c>
      <c r="D12" s="31">
        <v>60</v>
      </c>
      <c r="F12" s="32"/>
      <c r="I12" s="31">
        <v>15</v>
      </c>
      <c r="L12" s="31">
        <v>65</v>
      </c>
      <c r="M12" s="31">
        <f t="shared" si="0"/>
        <v>150000</v>
      </c>
      <c r="N12" s="31">
        <f t="shared" si="1"/>
        <v>5.1760912590556813</v>
      </c>
      <c r="O12" s="31">
        <f t="shared" si="2"/>
        <v>1.0556656099853674</v>
      </c>
      <c r="Q12" s="31">
        <v>65</v>
      </c>
      <c r="R12" s="31">
        <v>5</v>
      </c>
      <c r="S12" s="34">
        <f>AVERAGE(O7,O10,O13)</f>
        <v>7.2194165748946368E-2</v>
      </c>
      <c r="T12" s="31">
        <f>STDEV(O7,O10,O13)</f>
        <v>7.0953360666644122E-2</v>
      </c>
      <c r="Y12" s="31" t="s">
        <v>276</v>
      </c>
      <c r="Z12" s="31">
        <v>1</v>
      </c>
      <c r="AA12" s="31">
        <v>1</v>
      </c>
      <c r="AB12" s="31">
        <v>1</v>
      </c>
    </row>
    <row r="13" spans="1:28" x14ac:dyDescent="0.25">
      <c r="A13" s="31">
        <v>7</v>
      </c>
      <c r="B13" s="31" t="s">
        <v>3</v>
      </c>
      <c r="C13" s="31" t="s">
        <v>73</v>
      </c>
      <c r="D13" s="31">
        <v>5</v>
      </c>
      <c r="F13" s="32"/>
      <c r="I13" s="31">
        <v>149</v>
      </c>
      <c r="L13" s="31">
        <v>65</v>
      </c>
      <c r="M13" s="31">
        <f t="shared" si="0"/>
        <v>1490000</v>
      </c>
      <c r="N13" s="31">
        <f t="shared" si="1"/>
        <v>6.173186268412274</v>
      </c>
      <c r="O13" s="31">
        <f t="shared" si="2"/>
        <v>5.8570600628774727E-2</v>
      </c>
      <c r="Q13" s="31">
        <v>65</v>
      </c>
      <c r="R13" s="31">
        <v>30</v>
      </c>
      <c r="S13" s="34">
        <f t="shared" ref="S13:S14" si="3">AVERAGE(O8,O11,O14)</f>
        <v>0.27730005189818679</v>
      </c>
      <c r="T13" s="31">
        <f t="shared" ref="T13:T14" si="4">STDEV(O8,O11,O14)</f>
        <v>9.8645558991617324E-2</v>
      </c>
      <c r="Y13" s="31" t="s">
        <v>277</v>
      </c>
      <c r="Z13" s="31">
        <v>0</v>
      </c>
      <c r="AA13" s="31">
        <v>1</v>
      </c>
      <c r="AB13" s="31">
        <v>1</v>
      </c>
    </row>
    <row r="14" spans="1:28" x14ac:dyDescent="0.25">
      <c r="A14" s="31">
        <v>8</v>
      </c>
      <c r="B14" s="31" t="s">
        <v>3</v>
      </c>
      <c r="C14" s="31" t="s">
        <v>74</v>
      </c>
      <c r="D14" s="31">
        <v>30</v>
      </c>
      <c r="F14" s="32"/>
      <c r="I14" s="31">
        <v>117</v>
      </c>
      <c r="L14" s="32">
        <v>65</v>
      </c>
      <c r="M14" s="31">
        <f t="shared" si="0"/>
        <v>1170000</v>
      </c>
      <c r="N14" s="31">
        <f t="shared" si="1"/>
        <v>6.0681858617461613</v>
      </c>
      <c r="O14" s="31">
        <f t="shared" si="2"/>
        <v>0.16357100729488749</v>
      </c>
      <c r="Q14" s="31">
        <v>65</v>
      </c>
      <c r="R14" s="31">
        <v>60</v>
      </c>
      <c r="S14" s="34">
        <f t="shared" si="3"/>
        <v>1.0863693200274633</v>
      </c>
      <c r="T14" s="31">
        <f t="shared" si="4"/>
        <v>3.1080569793540808E-2</v>
      </c>
      <c r="Y14" s="31" t="s">
        <v>278</v>
      </c>
      <c r="Z14" s="31" t="s">
        <v>191</v>
      </c>
      <c r="AA14" s="31" t="s">
        <v>191</v>
      </c>
      <c r="AB14" s="31">
        <v>141</v>
      </c>
    </row>
    <row r="15" spans="1:28" x14ac:dyDescent="0.25">
      <c r="A15" s="31">
        <v>9</v>
      </c>
      <c r="B15" s="31" t="s">
        <v>3</v>
      </c>
      <c r="C15" s="31" t="s">
        <v>75</v>
      </c>
      <c r="D15" s="31">
        <v>60</v>
      </c>
      <c r="F15" s="32"/>
      <c r="I15" s="31">
        <v>14</v>
      </c>
      <c r="L15" s="31">
        <v>65</v>
      </c>
      <c r="M15" s="31">
        <f t="shared" si="0"/>
        <v>140000</v>
      </c>
      <c r="N15" s="31">
        <f t="shared" si="1"/>
        <v>5.1461280356782382</v>
      </c>
      <c r="O15" s="31">
        <f t="shared" si="2"/>
        <v>1.0856288333628106</v>
      </c>
      <c r="Q15" s="31">
        <v>75</v>
      </c>
      <c r="R15" s="31">
        <v>5</v>
      </c>
      <c r="S15" s="31">
        <f>AVERAGE(O16,O19,O22)</f>
        <v>1.081879318884357</v>
      </c>
      <c r="T15" s="31">
        <f>STDEV(O16,O19,O22)</f>
        <v>9.3950649014797202E-2</v>
      </c>
      <c r="Y15" s="31" t="s">
        <v>279</v>
      </c>
      <c r="Z15" s="31">
        <v>2</v>
      </c>
      <c r="AA15" s="31">
        <v>3</v>
      </c>
      <c r="AB15" s="31">
        <v>3</v>
      </c>
    </row>
    <row r="16" spans="1:28" x14ac:dyDescent="0.25">
      <c r="A16" s="31">
        <v>10</v>
      </c>
      <c r="B16" s="31" t="s">
        <v>3</v>
      </c>
      <c r="C16" s="33" t="s">
        <v>76</v>
      </c>
      <c r="D16" s="33">
        <v>5</v>
      </c>
      <c r="E16" s="33"/>
      <c r="F16" s="33"/>
      <c r="G16" s="33"/>
      <c r="H16" s="33"/>
      <c r="I16" s="33">
        <v>11</v>
      </c>
      <c r="J16" s="33"/>
      <c r="K16" s="33"/>
      <c r="L16" s="33">
        <v>75</v>
      </c>
      <c r="M16" s="33">
        <f t="shared" si="0"/>
        <v>110000</v>
      </c>
      <c r="N16" s="33">
        <f t="shared" si="1"/>
        <v>5.0413926851582254</v>
      </c>
      <c r="O16" s="33">
        <f t="shared" si="2"/>
        <v>1.1903641838828234</v>
      </c>
      <c r="Q16" s="31">
        <v>75</v>
      </c>
      <c r="R16" s="31">
        <v>30</v>
      </c>
      <c r="S16" s="31">
        <f t="shared" ref="S16:S17" si="5">AVERAGE(O17,O20,O23)</f>
        <v>4.4600187379859619</v>
      </c>
      <c r="T16" s="31">
        <f t="shared" ref="T16:T17" si="6">STDEV(O17,O20,O23)</f>
        <v>0.3986178331885894</v>
      </c>
      <c r="Y16" s="31" t="s">
        <v>280</v>
      </c>
      <c r="Z16" s="31">
        <v>0</v>
      </c>
      <c r="AA16" s="31">
        <v>0</v>
      </c>
      <c r="AB16" s="31">
        <v>0</v>
      </c>
    </row>
    <row r="17" spans="1:28" x14ac:dyDescent="0.25">
      <c r="A17" s="31">
        <v>11</v>
      </c>
      <c r="B17" s="31" t="s">
        <v>3</v>
      </c>
      <c r="C17" s="33" t="s">
        <v>77</v>
      </c>
      <c r="D17" s="33">
        <v>30</v>
      </c>
      <c r="E17" s="33"/>
      <c r="F17" s="33"/>
      <c r="G17" s="33">
        <v>168</v>
      </c>
      <c r="H17" s="33"/>
      <c r="I17" s="33"/>
      <c r="J17" s="33"/>
      <c r="K17" s="33"/>
      <c r="L17" s="33">
        <v>75</v>
      </c>
      <c r="M17" s="33">
        <f t="shared" ref="M17:M24" si="7">G17</f>
        <v>168</v>
      </c>
      <c r="N17" s="33">
        <f t="shared" si="1"/>
        <v>2.2253092817258628</v>
      </c>
      <c r="O17" s="33">
        <f t="shared" si="2"/>
        <v>4.0064475873151864</v>
      </c>
      <c r="Q17" s="31">
        <v>75</v>
      </c>
      <c r="R17" s="31">
        <v>60</v>
      </c>
      <c r="S17" s="31">
        <f t="shared" si="5"/>
        <v>4.64821293562101</v>
      </c>
      <c r="T17" s="31">
        <f t="shared" si="6"/>
        <v>6.5130943967646494E-3</v>
      </c>
      <c r="Z17" s="31">
        <v>-4</v>
      </c>
      <c r="AA17" s="31">
        <v>-5</v>
      </c>
      <c r="AB17" s="31">
        <v>-6</v>
      </c>
    </row>
    <row r="18" spans="1:28" x14ac:dyDescent="0.25">
      <c r="A18" s="31">
        <v>12</v>
      </c>
      <c r="B18" s="31" t="s">
        <v>3</v>
      </c>
      <c r="C18" s="33" t="s">
        <v>78</v>
      </c>
      <c r="D18" s="33">
        <v>60</v>
      </c>
      <c r="E18" s="33"/>
      <c r="F18" s="33"/>
      <c r="G18" s="33">
        <v>38</v>
      </c>
      <c r="H18" s="33"/>
      <c r="I18" s="33"/>
      <c r="J18" s="33"/>
      <c r="K18" s="33"/>
      <c r="L18" s="33">
        <v>75</v>
      </c>
      <c r="M18" s="33">
        <f t="shared" si="7"/>
        <v>38</v>
      </c>
      <c r="N18" s="33">
        <f t="shared" si="1"/>
        <v>1.5797835966168101</v>
      </c>
      <c r="O18" s="33">
        <f t="shared" si="2"/>
        <v>4.6519732724242386</v>
      </c>
      <c r="Y18" s="31" t="s">
        <v>281</v>
      </c>
      <c r="Z18" s="31">
        <v>168</v>
      </c>
      <c r="AA18" s="31">
        <v>13</v>
      </c>
      <c r="AB18" s="31">
        <v>3</v>
      </c>
    </row>
    <row r="19" spans="1:28" x14ac:dyDescent="0.25">
      <c r="A19" s="31">
        <v>13</v>
      </c>
      <c r="B19" s="31" t="s">
        <v>3</v>
      </c>
      <c r="C19" s="33" t="s">
        <v>76</v>
      </c>
      <c r="D19" s="33">
        <v>5</v>
      </c>
      <c r="E19" s="33"/>
      <c r="F19" s="33"/>
      <c r="G19" s="33"/>
      <c r="H19" s="33"/>
      <c r="I19" s="33">
        <v>16</v>
      </c>
      <c r="J19" s="33"/>
      <c r="K19" s="33"/>
      <c r="L19" s="33">
        <v>75</v>
      </c>
      <c r="M19" s="33">
        <f t="shared" ref="M19" si="8">I19*10000</f>
        <v>160000</v>
      </c>
      <c r="N19" s="33">
        <f t="shared" si="1"/>
        <v>5.204119982655925</v>
      </c>
      <c r="O19" s="33">
        <f t="shared" si="2"/>
        <v>1.0276368863851237</v>
      </c>
      <c r="Y19" s="31" t="s">
        <v>282</v>
      </c>
      <c r="Z19" s="31">
        <v>141</v>
      </c>
      <c r="AA19" s="31">
        <v>57</v>
      </c>
      <c r="AB19" s="31">
        <v>3</v>
      </c>
    </row>
    <row r="20" spans="1:28" x14ac:dyDescent="0.25">
      <c r="A20" s="31">
        <v>14</v>
      </c>
      <c r="B20" s="31" t="s">
        <v>3</v>
      </c>
      <c r="C20" s="33" t="s">
        <v>77</v>
      </c>
      <c r="D20" s="33">
        <v>30</v>
      </c>
      <c r="E20" s="33"/>
      <c r="F20" s="33"/>
      <c r="G20" s="33">
        <v>41</v>
      </c>
      <c r="H20" s="33"/>
      <c r="I20" s="33"/>
      <c r="J20" s="33"/>
      <c r="K20" s="33"/>
      <c r="L20" s="33">
        <v>75</v>
      </c>
      <c r="M20" s="33">
        <f t="shared" si="7"/>
        <v>41</v>
      </c>
      <c r="N20" s="33">
        <f t="shared" si="1"/>
        <v>1.6127838567197355</v>
      </c>
      <c r="O20" s="33">
        <f t="shared" si="2"/>
        <v>4.6189730123213133</v>
      </c>
      <c r="Y20" s="31" t="s">
        <v>283</v>
      </c>
      <c r="Z20" s="31">
        <v>222</v>
      </c>
      <c r="AA20" s="31">
        <v>22</v>
      </c>
      <c r="AB20" s="31">
        <v>35</v>
      </c>
    </row>
    <row r="21" spans="1:28" x14ac:dyDescent="0.25">
      <c r="A21" s="31">
        <v>15</v>
      </c>
      <c r="B21" s="31" t="s">
        <v>3</v>
      </c>
      <c r="C21" s="33" t="s">
        <v>78</v>
      </c>
      <c r="D21" s="33">
        <v>60</v>
      </c>
      <c r="E21" s="33"/>
      <c r="F21" s="33"/>
      <c r="G21" s="33">
        <v>39</v>
      </c>
      <c r="H21" s="33"/>
      <c r="I21" s="33"/>
      <c r="J21" s="33"/>
      <c r="K21" s="33"/>
      <c r="L21" s="33">
        <v>75</v>
      </c>
      <c r="M21" s="33">
        <f t="shared" si="7"/>
        <v>39</v>
      </c>
      <c r="N21" s="33">
        <f t="shared" si="1"/>
        <v>1.5910646070264991</v>
      </c>
      <c r="O21" s="33">
        <f t="shared" si="2"/>
        <v>4.6406922620145501</v>
      </c>
      <c r="Z21" s="31">
        <v>-7</v>
      </c>
    </row>
    <row r="22" spans="1:28" x14ac:dyDescent="0.25">
      <c r="A22" s="31">
        <v>16</v>
      </c>
      <c r="B22" s="31" t="s">
        <v>3</v>
      </c>
      <c r="C22" s="33" t="s">
        <v>76</v>
      </c>
      <c r="D22" s="33">
        <v>5</v>
      </c>
      <c r="E22" s="33"/>
      <c r="F22" s="33"/>
      <c r="G22" s="33"/>
      <c r="H22" s="33"/>
      <c r="I22" s="33">
        <v>16</v>
      </c>
      <c r="J22" s="33"/>
      <c r="K22" s="33"/>
      <c r="L22" s="33">
        <v>75</v>
      </c>
      <c r="M22" s="33">
        <f t="shared" ref="M22" si="9">I22*10000</f>
        <v>160000</v>
      </c>
      <c r="N22" s="33">
        <f t="shared" si="1"/>
        <v>5.204119982655925</v>
      </c>
      <c r="O22" s="33">
        <f t="shared" si="2"/>
        <v>1.0276368863851237</v>
      </c>
      <c r="Y22" s="31" t="s">
        <v>268</v>
      </c>
      <c r="Z22" s="31">
        <v>39</v>
      </c>
    </row>
    <row r="23" spans="1:28" x14ac:dyDescent="0.25">
      <c r="A23" s="31">
        <v>17</v>
      </c>
      <c r="B23" s="31" t="s">
        <v>3</v>
      </c>
      <c r="C23" s="33" t="s">
        <v>77</v>
      </c>
      <c r="D23" s="33">
        <v>30</v>
      </c>
      <c r="E23" s="33"/>
      <c r="F23" s="33"/>
      <c r="G23" s="33">
        <v>30</v>
      </c>
      <c r="H23" s="33"/>
      <c r="I23" s="33"/>
      <c r="J23" s="33"/>
      <c r="K23" s="33"/>
      <c r="L23" s="33">
        <v>75</v>
      </c>
      <c r="M23" s="33">
        <f t="shared" si="7"/>
        <v>30</v>
      </c>
      <c r="N23" s="33">
        <f t="shared" si="1"/>
        <v>1.4771212547196624</v>
      </c>
      <c r="O23" s="33">
        <f t="shared" si="2"/>
        <v>4.7546356143213862</v>
      </c>
      <c r="Y23" s="31" t="s">
        <v>269</v>
      </c>
      <c r="Z23" s="31">
        <v>28</v>
      </c>
    </row>
    <row r="24" spans="1:28" x14ac:dyDescent="0.25">
      <c r="A24" s="31">
        <v>18</v>
      </c>
      <c r="B24" s="31" t="s">
        <v>3</v>
      </c>
      <c r="C24" s="33" t="s">
        <v>78</v>
      </c>
      <c r="D24" s="33">
        <v>60</v>
      </c>
      <c r="E24" s="33"/>
      <c r="F24" s="33"/>
      <c r="G24" s="33">
        <v>38</v>
      </c>
      <c r="H24" s="33"/>
      <c r="I24" s="33"/>
      <c r="J24" s="33"/>
      <c r="K24" s="33"/>
      <c r="L24" s="33">
        <v>75</v>
      </c>
      <c r="M24" s="33">
        <f t="shared" si="7"/>
        <v>38</v>
      </c>
      <c r="N24" s="33">
        <f t="shared" si="1"/>
        <v>1.5797835966168101</v>
      </c>
      <c r="O24" s="33">
        <f t="shared" si="2"/>
        <v>4.6519732724242386</v>
      </c>
      <c r="Y24" s="31" t="s">
        <v>270</v>
      </c>
      <c r="Z24" s="31" t="s">
        <v>271</v>
      </c>
    </row>
    <row r="25" spans="1:28" x14ac:dyDescent="0.25">
      <c r="A25" s="31">
        <v>19</v>
      </c>
      <c r="B25" s="31" t="s">
        <v>3</v>
      </c>
      <c r="C25" s="33" t="s">
        <v>35</v>
      </c>
      <c r="D25" s="33">
        <v>0</v>
      </c>
      <c r="E25" s="33"/>
      <c r="F25" s="33"/>
      <c r="G25" s="33"/>
      <c r="H25" s="33"/>
      <c r="I25" s="33">
        <v>165</v>
      </c>
      <c r="J25" s="33"/>
      <c r="K25" s="33"/>
      <c r="L25" s="33"/>
      <c r="M25" s="33">
        <f t="shared" ref="M25:M27" si="10">I25*10000</f>
        <v>1650000</v>
      </c>
      <c r="N25" s="33">
        <f t="shared" si="1"/>
        <v>6.2174839442139067</v>
      </c>
      <c r="O25" s="33"/>
    </row>
    <row r="26" spans="1:28" x14ac:dyDescent="0.25">
      <c r="A26" s="31">
        <v>20</v>
      </c>
      <c r="B26" s="31" t="s">
        <v>3</v>
      </c>
      <c r="C26" s="33" t="s">
        <v>35</v>
      </c>
      <c r="D26" s="33">
        <v>0</v>
      </c>
      <c r="E26" s="33"/>
      <c r="F26" s="33"/>
      <c r="G26" s="33"/>
      <c r="H26" s="33"/>
      <c r="I26" s="33">
        <v>166</v>
      </c>
      <c r="J26" s="33"/>
      <c r="K26" s="33"/>
      <c r="L26" s="33"/>
      <c r="M26" s="33">
        <f t="shared" si="10"/>
        <v>1660000</v>
      </c>
      <c r="N26" s="33">
        <f t="shared" si="1"/>
        <v>6.220108088040055</v>
      </c>
      <c r="O26" s="33"/>
    </row>
    <row r="27" spans="1:28" x14ac:dyDescent="0.25">
      <c r="A27" s="31">
        <v>21</v>
      </c>
      <c r="B27" s="31" t="s">
        <v>3</v>
      </c>
      <c r="C27" s="33" t="s">
        <v>35</v>
      </c>
      <c r="D27" s="33">
        <v>0</v>
      </c>
      <c r="E27" s="33"/>
      <c r="F27" s="33"/>
      <c r="G27" s="33"/>
      <c r="H27" s="33"/>
      <c r="I27" s="33">
        <v>181</v>
      </c>
      <c r="J27" s="33"/>
      <c r="K27" s="33"/>
      <c r="L27" s="33"/>
      <c r="M27" s="33">
        <f t="shared" si="10"/>
        <v>1810000</v>
      </c>
      <c r="N27" s="33">
        <f t="shared" si="1"/>
        <v>6.2576785748691846</v>
      </c>
      <c r="O27" s="33"/>
      <c r="P27" s="31" t="s">
        <v>261</v>
      </c>
    </row>
    <row r="28" spans="1:28" x14ac:dyDescent="0.25">
      <c r="Q28" s="31" t="s">
        <v>286</v>
      </c>
      <c r="U28" s="31" t="s">
        <v>340</v>
      </c>
      <c r="V28" s="31" t="s">
        <v>129</v>
      </c>
    </row>
    <row r="29" spans="1:28" x14ac:dyDescent="0.25">
      <c r="A29" s="38">
        <v>41842</v>
      </c>
      <c r="B29" s="31" t="s">
        <v>3</v>
      </c>
      <c r="C29" s="32" t="s">
        <v>76</v>
      </c>
      <c r="D29" s="31">
        <v>5</v>
      </c>
      <c r="L29" s="31">
        <v>75</v>
      </c>
      <c r="M29" s="31">
        <f>250000</f>
        <v>250000</v>
      </c>
      <c r="P29" s="31">
        <f>LOG10(M29)</f>
        <v>5.3979400086720375</v>
      </c>
      <c r="Q29" s="31">
        <f>$Q$38-P29</f>
        <v>0.84235378093859037</v>
      </c>
      <c r="U29" s="31">
        <v>5</v>
      </c>
      <c r="V29" s="31">
        <f>AVERAGE(Q29,Q32,Q35)</f>
        <v>0.5862496331778827</v>
      </c>
      <c r="W29" s="31">
        <f>STDEV(Q29,Q32,Q35)</f>
        <v>0.42891865384299016</v>
      </c>
    </row>
    <row r="30" spans="1:28" x14ac:dyDescent="0.25">
      <c r="B30" s="31" t="s">
        <v>3</v>
      </c>
      <c r="C30" s="32" t="s">
        <v>77</v>
      </c>
      <c r="D30" s="31">
        <v>30</v>
      </c>
      <c r="L30" s="31">
        <v>75</v>
      </c>
      <c r="M30" s="31">
        <v>0</v>
      </c>
      <c r="N30" s="31" t="s">
        <v>265</v>
      </c>
      <c r="P30" s="31">
        <v>0</v>
      </c>
      <c r="Q30" s="33">
        <f t="shared" ref="Q30:Q37" si="11">$Q$38-P30</f>
        <v>6.2402937896106279</v>
      </c>
      <c r="R30" s="31" t="s">
        <v>264</v>
      </c>
      <c r="U30" s="31">
        <v>30</v>
      </c>
      <c r="V30" s="31" t="s">
        <v>287</v>
      </c>
    </row>
    <row r="31" spans="1:28" x14ac:dyDescent="0.25">
      <c r="B31" s="31" t="s">
        <v>3</v>
      </c>
      <c r="C31" s="32" t="s">
        <v>78</v>
      </c>
      <c r="D31" s="31">
        <v>60</v>
      </c>
      <c r="L31" s="31">
        <v>75</v>
      </c>
      <c r="M31" s="31">
        <v>0</v>
      </c>
      <c r="P31" s="31">
        <v>0</v>
      </c>
      <c r="Q31" s="33">
        <f t="shared" si="11"/>
        <v>6.2402937896106279</v>
      </c>
      <c r="R31" s="31" t="s">
        <v>264</v>
      </c>
      <c r="U31" s="31">
        <v>60</v>
      </c>
      <c r="V31" s="33">
        <f t="shared" ref="V31" si="12">AVERAGE(Q31,Q34,Q37)</f>
        <v>6.2402937896106279</v>
      </c>
    </row>
    <row r="32" spans="1:28" x14ac:dyDescent="0.25">
      <c r="B32" s="31" t="s">
        <v>3</v>
      </c>
      <c r="C32" s="32" t="s">
        <v>76</v>
      </c>
      <c r="D32" s="31">
        <v>5</v>
      </c>
      <c r="L32" s="31">
        <v>75</v>
      </c>
      <c r="M32" s="31">
        <v>260000</v>
      </c>
      <c r="N32" s="32"/>
      <c r="P32" s="31">
        <f t="shared" ref="P32:P40" si="13">LOG10(M32)</f>
        <v>5.4149733479708182</v>
      </c>
      <c r="Q32" s="31">
        <f t="shared" si="11"/>
        <v>0.82532044163980967</v>
      </c>
    </row>
    <row r="33" spans="2:18" x14ac:dyDescent="0.25">
      <c r="B33" s="31" t="s">
        <v>3</v>
      </c>
      <c r="C33" s="32" t="s">
        <v>77</v>
      </c>
      <c r="D33" s="31">
        <v>30</v>
      </c>
      <c r="L33" s="31">
        <v>75</v>
      </c>
      <c r="M33" s="31">
        <v>1</v>
      </c>
      <c r="N33" s="31" t="s">
        <v>265</v>
      </c>
      <c r="P33" s="31">
        <f t="shared" si="13"/>
        <v>0</v>
      </c>
      <c r="Q33" s="33">
        <f t="shared" si="11"/>
        <v>6.2402937896106279</v>
      </c>
      <c r="R33" s="31" t="s">
        <v>264</v>
      </c>
    </row>
    <row r="34" spans="2:18" x14ac:dyDescent="0.25">
      <c r="B34" s="31" t="s">
        <v>3</v>
      </c>
      <c r="C34" s="32" t="s">
        <v>78</v>
      </c>
      <c r="D34" s="31">
        <v>60</v>
      </c>
      <c r="L34" s="31">
        <v>75</v>
      </c>
      <c r="M34" s="31">
        <v>0</v>
      </c>
      <c r="N34" s="31" t="s">
        <v>265</v>
      </c>
      <c r="P34" s="31">
        <v>0</v>
      </c>
      <c r="Q34" s="33">
        <f t="shared" si="11"/>
        <v>6.2402937896106279</v>
      </c>
      <c r="R34" s="31" t="s">
        <v>264</v>
      </c>
    </row>
    <row r="35" spans="2:18" x14ac:dyDescent="0.25">
      <c r="B35" s="31" t="s">
        <v>3</v>
      </c>
      <c r="C35" s="32" t="s">
        <v>76</v>
      </c>
      <c r="D35" s="31">
        <v>5</v>
      </c>
      <c r="L35" s="31">
        <v>75</v>
      </c>
      <c r="M35" s="31">
        <v>1410000</v>
      </c>
      <c r="P35" s="31">
        <f t="shared" si="13"/>
        <v>6.1492191126553797</v>
      </c>
      <c r="Q35" s="31">
        <f t="shared" si="11"/>
        <v>9.1074676955248179E-2</v>
      </c>
    </row>
    <row r="36" spans="2:18" x14ac:dyDescent="0.25">
      <c r="B36" s="31" t="s">
        <v>3</v>
      </c>
      <c r="C36" s="32" t="s">
        <v>77</v>
      </c>
      <c r="D36" s="31">
        <v>30</v>
      </c>
      <c r="L36" s="31">
        <v>75</v>
      </c>
      <c r="M36" s="31">
        <v>2</v>
      </c>
      <c r="N36" s="31" t="s">
        <v>285</v>
      </c>
      <c r="P36" s="31">
        <f t="shared" si="13"/>
        <v>0.3010299956639812</v>
      </c>
      <c r="Q36" s="31">
        <f t="shared" si="11"/>
        <v>5.9392637939466466</v>
      </c>
    </row>
    <row r="37" spans="2:18" x14ac:dyDescent="0.25">
      <c r="B37" s="31" t="s">
        <v>3</v>
      </c>
      <c r="C37" s="32" t="s">
        <v>78</v>
      </c>
      <c r="D37" s="31">
        <v>60</v>
      </c>
      <c r="L37" s="31">
        <v>75</v>
      </c>
      <c r="M37" s="31">
        <v>0</v>
      </c>
      <c r="P37" s="31">
        <v>0</v>
      </c>
      <c r="Q37" s="33">
        <f t="shared" si="11"/>
        <v>6.2402937896106279</v>
      </c>
      <c r="R37" s="31" t="s">
        <v>264</v>
      </c>
    </row>
    <row r="38" spans="2:18" x14ac:dyDescent="0.25">
      <c r="B38" s="31" t="s">
        <v>3</v>
      </c>
      <c r="C38" s="32" t="s">
        <v>35</v>
      </c>
      <c r="D38" s="31">
        <v>0</v>
      </c>
      <c r="M38" s="31">
        <v>1680000</v>
      </c>
      <c r="P38" s="31">
        <f t="shared" si="13"/>
        <v>6.2253092817258633</v>
      </c>
      <c r="Q38" s="31">
        <f>AVERAGE(P38:P40)</f>
        <v>6.2402937896106279</v>
      </c>
    </row>
    <row r="39" spans="2:18" x14ac:dyDescent="0.25">
      <c r="B39" s="31" t="s">
        <v>3</v>
      </c>
      <c r="C39" s="32" t="s">
        <v>35</v>
      </c>
      <c r="D39" s="31">
        <v>0</v>
      </c>
      <c r="M39" s="31">
        <v>1410000</v>
      </c>
      <c r="P39" s="31">
        <f t="shared" si="13"/>
        <v>6.1492191126553797</v>
      </c>
    </row>
    <row r="40" spans="2:18" x14ac:dyDescent="0.25">
      <c r="B40" s="31" t="s">
        <v>3</v>
      </c>
      <c r="C40" s="32" t="s">
        <v>35</v>
      </c>
      <c r="D40" s="31">
        <v>0</v>
      </c>
      <c r="M40" s="31">
        <v>2220000</v>
      </c>
      <c r="P40" s="31">
        <f t="shared" si="13"/>
        <v>6.3463529744506388</v>
      </c>
    </row>
  </sheetData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2"/>
  <sheetViews>
    <sheetView workbookViewId="0"/>
  </sheetViews>
  <sheetFormatPr defaultRowHeight="15" x14ac:dyDescent="0.25"/>
  <cols>
    <col min="3" max="3" width="13.85546875" customWidth="1"/>
    <col min="5" max="6" width="9.140625" hidden="1" customWidth="1"/>
    <col min="7" max="7" width="11" hidden="1" customWidth="1"/>
    <col min="8" max="11" width="9.140625" hidden="1" customWidth="1"/>
    <col min="19" max="19" width="10" bestFit="1" customWidth="1"/>
    <col min="20" max="20" width="10" customWidth="1"/>
    <col min="26" max="26" width="8.140625" customWidth="1"/>
    <col min="27" max="27" width="9.140625" style="4"/>
  </cols>
  <sheetData>
    <row r="1" spans="1:35" x14ac:dyDescent="0.25">
      <c r="A1" t="s">
        <v>0</v>
      </c>
      <c r="G1" s="1">
        <v>41835</v>
      </c>
      <c r="H1" t="s">
        <v>58</v>
      </c>
      <c r="M1" t="s">
        <v>294</v>
      </c>
      <c r="P1" t="s">
        <v>293</v>
      </c>
    </row>
    <row r="2" spans="1:35" x14ac:dyDescent="0.25">
      <c r="A2" s="31" t="s">
        <v>335</v>
      </c>
      <c r="D2" t="s">
        <v>83</v>
      </c>
    </row>
    <row r="3" spans="1:35" x14ac:dyDescent="0.25">
      <c r="A3" t="s">
        <v>1</v>
      </c>
      <c r="D3" t="s">
        <v>231</v>
      </c>
    </row>
    <row r="4" spans="1:35" x14ac:dyDescent="0.25">
      <c r="H4" t="s">
        <v>37</v>
      </c>
      <c r="N4" s="2" t="s">
        <v>70</v>
      </c>
      <c r="R4" s="3"/>
    </row>
    <row r="5" spans="1:35" x14ac:dyDescent="0.25">
      <c r="G5" t="s">
        <v>59</v>
      </c>
      <c r="M5" s="39" t="s">
        <v>295</v>
      </c>
      <c r="N5" s="39"/>
      <c r="O5" s="39"/>
      <c r="P5" s="39"/>
      <c r="Q5" s="39"/>
      <c r="U5" s="39" t="s">
        <v>296</v>
      </c>
      <c r="V5" s="39"/>
      <c r="W5" s="39"/>
      <c r="X5" s="39"/>
      <c r="Y5" s="39"/>
      <c r="AF5" t="s">
        <v>297</v>
      </c>
      <c r="AH5" s="4">
        <f>AVERAGE(AA7:AA9,AA27)</f>
        <v>5350000</v>
      </c>
    </row>
    <row r="6" spans="1:35" x14ac:dyDescent="0.25">
      <c r="A6" t="s">
        <v>27</v>
      </c>
      <c r="C6" t="s">
        <v>28</v>
      </c>
      <c r="D6" t="s">
        <v>67</v>
      </c>
      <c r="G6" t="s">
        <v>60</v>
      </c>
      <c r="H6">
        <v>-2</v>
      </c>
      <c r="I6">
        <v>-4</v>
      </c>
      <c r="J6">
        <v>-5</v>
      </c>
      <c r="K6">
        <v>-6</v>
      </c>
      <c r="L6" t="s">
        <v>304</v>
      </c>
      <c r="M6" s="6">
        <v>-2</v>
      </c>
      <c r="N6" s="6">
        <v>-3</v>
      </c>
      <c r="O6" s="6">
        <v>-4</v>
      </c>
      <c r="P6" s="6">
        <v>-5</v>
      </c>
      <c r="Q6" s="6">
        <v>-6</v>
      </c>
      <c r="R6" s="6">
        <v>-7</v>
      </c>
      <c r="S6" s="27" t="s">
        <v>341</v>
      </c>
      <c r="T6" s="27" t="s">
        <v>129</v>
      </c>
      <c r="U6" s="6">
        <v>-2</v>
      </c>
      <c r="V6" s="6">
        <v>-3</v>
      </c>
      <c r="W6" s="6">
        <v>-4</v>
      </c>
      <c r="X6" s="6">
        <v>-5</v>
      </c>
      <c r="Y6" s="6">
        <v>-6</v>
      </c>
      <c r="Z6" s="6">
        <v>-7</v>
      </c>
      <c r="AA6" s="27" t="s">
        <v>341</v>
      </c>
      <c r="AB6" t="s">
        <v>129</v>
      </c>
      <c r="AC6" t="s">
        <v>341</v>
      </c>
      <c r="AD6" t="s">
        <v>68</v>
      </c>
      <c r="AE6" t="s">
        <v>129</v>
      </c>
      <c r="AG6" t="s">
        <v>298</v>
      </c>
      <c r="AH6" t="s">
        <v>68</v>
      </c>
      <c r="AI6" t="s">
        <v>129</v>
      </c>
    </row>
    <row r="7" spans="1:35" x14ac:dyDescent="0.25">
      <c r="A7">
        <v>1</v>
      </c>
      <c r="B7" t="s">
        <v>3</v>
      </c>
      <c r="C7" t="s">
        <v>73</v>
      </c>
      <c r="D7">
        <v>5</v>
      </c>
      <c r="I7">
        <v>167</v>
      </c>
      <c r="L7">
        <v>65</v>
      </c>
      <c r="M7" s="6"/>
      <c r="N7" s="6"/>
      <c r="O7" s="6"/>
      <c r="P7" s="6" t="s">
        <v>63</v>
      </c>
      <c r="Q7" s="6">
        <v>99</v>
      </c>
      <c r="R7" s="6"/>
      <c r="S7" s="27">
        <f>Q7*1000000</f>
        <v>99000000</v>
      </c>
      <c r="T7" s="28">
        <f>LOG($S$27/S7)</f>
        <v>3.3748583087659753E-2</v>
      </c>
      <c r="U7" s="6"/>
      <c r="V7" s="6" t="s">
        <v>63</v>
      </c>
      <c r="W7" s="6" t="s">
        <v>63</v>
      </c>
      <c r="X7" s="6">
        <v>61</v>
      </c>
      <c r="Y7" s="6"/>
      <c r="Z7" s="6"/>
      <c r="AA7" s="27">
        <f>X7*100000</f>
        <v>6100000</v>
      </c>
      <c r="AB7" s="28">
        <f>LOG($AA$27/AA7)</f>
        <v>-3.7141808004566609E-2</v>
      </c>
      <c r="AC7" s="15">
        <f>AA7/S7*100</f>
        <v>6.1616161616161618</v>
      </c>
      <c r="AD7" s="4">
        <f t="shared" ref="AD7:AD27" si="0">S7-AA7</f>
        <v>92900000</v>
      </c>
      <c r="AE7">
        <f>LOG($AD$27/AD7)</f>
        <v>3.8022241003675433E-2</v>
      </c>
      <c r="AG7">
        <f>LOG($AH$5/AA7)</f>
        <v>-5.6976052989538603E-2</v>
      </c>
    </row>
    <row r="8" spans="1:35" x14ac:dyDescent="0.25">
      <c r="A8">
        <v>2</v>
      </c>
      <c r="B8" t="s">
        <v>3</v>
      </c>
      <c r="C8" t="s">
        <v>74</v>
      </c>
      <c r="D8">
        <v>30</v>
      </c>
      <c r="I8">
        <v>80</v>
      </c>
      <c r="L8">
        <v>65</v>
      </c>
      <c r="M8" s="6"/>
      <c r="N8" s="6"/>
      <c r="O8" s="6"/>
      <c r="P8" s="6" t="s">
        <v>63</v>
      </c>
      <c r="Q8" s="6">
        <v>68</v>
      </c>
      <c r="R8" s="6"/>
      <c r="S8" s="27">
        <f t="shared" ref="S8:S10" si="1">Q8*1000000</f>
        <v>68000000</v>
      </c>
      <c r="T8" s="28">
        <f t="shared" ref="T8:T12" si="2">LOG($S$27/S8)</f>
        <v>0.1968748649789733</v>
      </c>
      <c r="U8" s="6"/>
      <c r="V8" s="6" t="s">
        <v>63</v>
      </c>
      <c r="W8" s="6" t="s">
        <v>63</v>
      </c>
      <c r="X8" s="6">
        <v>45</v>
      </c>
      <c r="Y8" s="6"/>
      <c r="Z8" s="6"/>
      <c r="AA8" s="27">
        <f t="shared" ref="AA8:AA9" si="3">X8*100000</f>
        <v>4500000</v>
      </c>
      <c r="AB8" s="28">
        <f t="shared" ref="AB8:AB12" si="4">LOG($AA$27/AA8)</f>
        <v>9.4975513230856748E-2</v>
      </c>
      <c r="AC8" s="15">
        <f t="shared" ref="AC8:AC27" si="5">AA8/S8*100</f>
        <v>6.6176470588235299</v>
      </c>
      <c r="AD8" s="4">
        <f t="shared" si="0"/>
        <v>63500000</v>
      </c>
      <c r="AE8">
        <f t="shared" ref="AE8:AE12" si="6">LOG($AD$27/AD8)</f>
        <v>0.2032642297053415</v>
      </c>
      <c r="AG8">
        <f t="shared" ref="AG8:AG12" si="7">LOG($AH$5/AA8)</f>
        <v>7.5141268245884768E-2</v>
      </c>
    </row>
    <row r="9" spans="1:35" x14ac:dyDescent="0.25">
      <c r="A9">
        <v>3</v>
      </c>
      <c r="B9" t="s">
        <v>3</v>
      </c>
      <c r="C9" t="s">
        <v>75</v>
      </c>
      <c r="D9">
        <v>60</v>
      </c>
      <c r="F9" s="3"/>
      <c r="I9">
        <v>13</v>
      </c>
      <c r="L9">
        <v>65</v>
      </c>
      <c r="M9" s="6"/>
      <c r="N9" s="6"/>
      <c r="O9" s="6"/>
      <c r="P9" s="6" t="s">
        <v>63</v>
      </c>
      <c r="Q9" s="6">
        <v>41</v>
      </c>
      <c r="R9" s="6"/>
      <c r="S9" s="27">
        <f t="shared" si="1"/>
        <v>41000000</v>
      </c>
      <c r="T9" s="28">
        <f t="shared" si="2"/>
        <v>0.41659992096547416</v>
      </c>
      <c r="U9" s="6"/>
      <c r="V9" s="6" t="s">
        <v>63</v>
      </c>
      <c r="W9" s="6">
        <v>340</v>
      </c>
      <c r="X9" s="6">
        <v>52</v>
      </c>
      <c r="Y9" s="6"/>
      <c r="Z9" s="6"/>
      <c r="AA9" s="27">
        <f t="shared" si="3"/>
        <v>5200000</v>
      </c>
      <c r="AB9" s="28">
        <f t="shared" si="4"/>
        <v>3.2184683371401235E-2</v>
      </c>
      <c r="AC9" s="15">
        <f t="shared" si="5"/>
        <v>12.682926829268293</v>
      </c>
      <c r="AD9" s="4">
        <f t="shared" si="0"/>
        <v>35800000</v>
      </c>
      <c r="AE9">
        <f t="shared" si="6"/>
        <v>0.45215492835344279</v>
      </c>
      <c r="AG9">
        <f t="shared" si="7"/>
        <v>1.2350438386429243E-2</v>
      </c>
    </row>
    <row r="10" spans="1:35" x14ac:dyDescent="0.25">
      <c r="A10">
        <v>4</v>
      </c>
      <c r="B10" t="s">
        <v>3</v>
      </c>
      <c r="C10" s="3" t="s">
        <v>76</v>
      </c>
      <c r="D10">
        <v>5</v>
      </c>
      <c r="F10" s="3"/>
      <c r="I10">
        <v>121</v>
      </c>
      <c r="L10">
        <v>75</v>
      </c>
      <c r="M10" s="6"/>
      <c r="N10" s="6"/>
      <c r="O10" s="6"/>
      <c r="P10" s="6" t="s">
        <v>63</v>
      </c>
      <c r="Q10" s="6">
        <v>54</v>
      </c>
      <c r="R10" s="6"/>
      <c r="S10" s="27">
        <f t="shared" si="1"/>
        <v>54000000</v>
      </c>
      <c r="T10" s="28">
        <f t="shared" si="2"/>
        <v>0.29699001786224111</v>
      </c>
      <c r="U10" s="6" t="s">
        <v>63</v>
      </c>
      <c r="V10" s="6"/>
      <c r="W10" s="6">
        <v>399</v>
      </c>
      <c r="X10" s="6"/>
      <c r="Y10" s="6"/>
      <c r="Z10" s="6"/>
      <c r="AA10" s="27">
        <f>W10*10000</f>
        <v>3990000</v>
      </c>
      <c r="AB10" s="28">
        <f t="shared" si="4"/>
        <v>0.14721513131945216</v>
      </c>
      <c r="AC10" s="15">
        <f t="shared" si="5"/>
        <v>7.3888888888888893</v>
      </c>
      <c r="AD10" s="4">
        <f t="shared" si="0"/>
        <v>50010000</v>
      </c>
      <c r="AE10">
        <f t="shared" si="6"/>
        <v>0.30698110044964938</v>
      </c>
      <c r="AG10">
        <f t="shared" si="7"/>
        <v>0.12738088633448022</v>
      </c>
    </row>
    <row r="11" spans="1:35" x14ac:dyDescent="0.25">
      <c r="A11">
        <v>5</v>
      </c>
      <c r="B11" t="s">
        <v>3</v>
      </c>
      <c r="C11" s="3" t="s">
        <v>77</v>
      </c>
      <c r="D11">
        <v>30</v>
      </c>
      <c r="F11" s="3"/>
      <c r="I11">
        <v>78</v>
      </c>
      <c r="L11">
        <v>75</v>
      </c>
      <c r="M11" s="6"/>
      <c r="N11" s="6"/>
      <c r="O11" s="6"/>
      <c r="P11" s="6">
        <v>45</v>
      </c>
      <c r="Q11" s="6">
        <v>3</v>
      </c>
      <c r="R11" s="6"/>
      <c r="S11" s="27">
        <f>P11*100000</f>
        <v>4500000</v>
      </c>
      <c r="T11" s="28">
        <f t="shared" si="2"/>
        <v>1.376171263909866</v>
      </c>
      <c r="U11" s="6" t="s">
        <v>63</v>
      </c>
      <c r="V11" s="6"/>
      <c r="W11" s="6">
        <v>212</v>
      </c>
      <c r="X11" s="6"/>
      <c r="Y11" s="6"/>
      <c r="Z11" s="6"/>
      <c r="AA11" s="27">
        <f t="shared" ref="AA11:AA12" si="8">W11*10000</f>
        <v>2120000</v>
      </c>
      <c r="AB11" s="28">
        <f t="shared" si="4"/>
        <v>0.42185216607744896</v>
      </c>
      <c r="AC11" s="15">
        <f t="shared" si="5"/>
        <v>47.111111111111107</v>
      </c>
      <c r="AD11" s="4">
        <f t="shared" si="0"/>
        <v>2380000</v>
      </c>
      <c r="AE11">
        <f t="shared" si="6"/>
        <v>1.6294609979408052</v>
      </c>
      <c r="AG11">
        <f t="shared" si="7"/>
        <v>0.40201792109247703</v>
      </c>
    </row>
    <row r="12" spans="1:35" x14ac:dyDescent="0.25">
      <c r="A12">
        <v>6</v>
      </c>
      <c r="B12" t="s">
        <v>3</v>
      </c>
      <c r="C12" s="3" t="s">
        <v>78</v>
      </c>
      <c r="D12">
        <v>60</v>
      </c>
      <c r="F12" s="3"/>
      <c r="I12">
        <v>15</v>
      </c>
      <c r="L12">
        <v>75</v>
      </c>
      <c r="M12" s="6"/>
      <c r="N12" s="6"/>
      <c r="O12" s="6"/>
      <c r="P12" s="6">
        <v>8</v>
      </c>
      <c r="Q12" s="6">
        <v>1</v>
      </c>
      <c r="R12" s="6"/>
      <c r="S12" s="27">
        <f>P12*100000</f>
        <v>800000</v>
      </c>
      <c r="T12" s="28">
        <f t="shared" si="2"/>
        <v>2.126293790693266</v>
      </c>
      <c r="U12" s="6" t="s">
        <v>63</v>
      </c>
      <c r="V12" s="6"/>
      <c r="W12" s="6">
        <v>134</v>
      </c>
      <c r="X12" s="6"/>
      <c r="Y12" s="6"/>
      <c r="Z12" s="6"/>
      <c r="AA12" s="27">
        <f t="shared" si="8"/>
        <v>1340000</v>
      </c>
      <c r="AB12" s="28">
        <f t="shared" si="4"/>
        <v>0.62108322864139276</v>
      </c>
      <c r="AC12" s="15">
        <f t="shared" si="5"/>
        <v>167.5</v>
      </c>
      <c r="AD12" s="29">
        <v>1</v>
      </c>
      <c r="AE12">
        <f t="shared" si="6"/>
        <v>8.0060379549973177</v>
      </c>
      <c r="AG12">
        <f t="shared" si="7"/>
        <v>0.60124898365642077</v>
      </c>
    </row>
    <row r="13" spans="1:35" x14ac:dyDescent="0.25">
      <c r="A13">
        <v>7</v>
      </c>
      <c r="B13" t="s">
        <v>3</v>
      </c>
      <c r="F13" s="3"/>
      <c r="I13">
        <v>149</v>
      </c>
      <c r="M13" s="6"/>
      <c r="N13" s="6"/>
      <c r="O13" s="6"/>
      <c r="P13" s="6"/>
      <c r="Q13" s="6"/>
      <c r="R13" s="6"/>
      <c r="S13" s="27"/>
      <c r="T13" s="27"/>
      <c r="U13" s="6"/>
      <c r="V13" s="6"/>
      <c r="W13" s="6"/>
      <c r="X13" s="6"/>
      <c r="Y13" s="6"/>
      <c r="Z13" s="6"/>
      <c r="AA13" s="27"/>
      <c r="AC13" s="15"/>
      <c r="AD13" s="4"/>
    </row>
    <row r="14" spans="1:35" x14ac:dyDescent="0.25">
      <c r="A14">
        <v>8</v>
      </c>
      <c r="B14" t="s">
        <v>3</v>
      </c>
      <c r="F14" s="3"/>
      <c r="I14">
        <v>117</v>
      </c>
      <c r="M14" s="6"/>
      <c r="N14" s="6"/>
      <c r="O14" s="6"/>
      <c r="P14" s="6"/>
      <c r="Q14" s="6"/>
      <c r="R14" s="6"/>
      <c r="S14" s="27"/>
      <c r="T14" s="27"/>
      <c r="U14" s="6"/>
      <c r="V14" s="6"/>
      <c r="W14" s="6"/>
      <c r="X14" s="6"/>
      <c r="Y14" s="6"/>
      <c r="Z14" s="6"/>
      <c r="AA14" s="27"/>
      <c r="AC14" s="15"/>
      <c r="AD14" s="4"/>
    </row>
    <row r="15" spans="1:35" x14ac:dyDescent="0.25">
      <c r="A15">
        <v>9</v>
      </c>
      <c r="B15" t="s">
        <v>3</v>
      </c>
      <c r="F15" s="3"/>
      <c r="I15">
        <v>14</v>
      </c>
      <c r="M15" s="6"/>
      <c r="N15" s="6"/>
      <c r="O15" s="6"/>
      <c r="P15" s="6"/>
      <c r="Q15" s="6"/>
      <c r="R15" s="6"/>
      <c r="S15" s="27"/>
      <c r="T15" s="27"/>
      <c r="U15" s="6"/>
      <c r="V15" s="6"/>
      <c r="W15" s="6"/>
      <c r="X15" s="6"/>
      <c r="Y15" s="6"/>
      <c r="Z15" s="6"/>
      <c r="AA15" s="27"/>
      <c r="AC15" s="15"/>
      <c r="AD15" s="4"/>
    </row>
    <row r="16" spans="1:35" x14ac:dyDescent="0.25">
      <c r="A16">
        <v>10</v>
      </c>
      <c r="B16" t="s">
        <v>3</v>
      </c>
      <c r="C16" s="3"/>
      <c r="D16" s="3"/>
      <c r="E16" s="3"/>
      <c r="F16" s="3"/>
      <c r="G16" s="3"/>
      <c r="H16" s="3"/>
      <c r="I16" s="3">
        <v>11</v>
      </c>
      <c r="J16" s="3"/>
      <c r="K16" s="3"/>
      <c r="L16" s="3"/>
      <c r="M16" s="8"/>
      <c r="N16" s="8"/>
      <c r="O16" s="8"/>
      <c r="P16" s="6"/>
      <c r="Q16" s="6"/>
      <c r="R16" s="6"/>
      <c r="S16" s="27"/>
      <c r="T16" s="27"/>
      <c r="U16" s="6"/>
      <c r="V16" s="6"/>
      <c r="W16" s="6"/>
      <c r="X16" s="6"/>
      <c r="Y16" s="6"/>
      <c r="Z16" s="6"/>
      <c r="AA16" s="27"/>
      <c r="AC16" s="15"/>
      <c r="AD16" s="4"/>
    </row>
    <row r="17" spans="1:30" x14ac:dyDescent="0.25">
      <c r="A17">
        <v>11</v>
      </c>
      <c r="B17" t="s">
        <v>3</v>
      </c>
      <c r="C17" s="3"/>
      <c r="D17" s="3"/>
      <c r="E17" s="3"/>
      <c r="F17" s="3"/>
      <c r="G17" s="3">
        <v>168</v>
      </c>
      <c r="H17" s="3"/>
      <c r="I17" s="3"/>
      <c r="J17" s="3"/>
      <c r="K17" s="3"/>
      <c r="L17" s="3"/>
      <c r="M17" s="8"/>
      <c r="N17" s="8"/>
      <c r="O17" s="8"/>
      <c r="P17" s="6"/>
      <c r="Q17" s="6"/>
      <c r="R17" s="6"/>
      <c r="S17" s="27"/>
      <c r="T17" s="27"/>
      <c r="U17" s="6"/>
      <c r="V17" s="6"/>
      <c r="W17" s="6"/>
      <c r="X17" s="6"/>
      <c r="Y17" s="6"/>
      <c r="Z17" s="6"/>
      <c r="AA17" s="27"/>
      <c r="AC17" s="15"/>
      <c r="AD17" s="4"/>
    </row>
    <row r="18" spans="1:30" x14ac:dyDescent="0.25">
      <c r="A18">
        <v>12</v>
      </c>
      <c r="B18" t="s">
        <v>3</v>
      </c>
      <c r="C18" s="3"/>
      <c r="D18" s="3"/>
      <c r="E18" s="3"/>
      <c r="F18" s="3"/>
      <c r="G18" s="3">
        <v>38</v>
      </c>
      <c r="H18" s="3"/>
      <c r="I18" s="3"/>
      <c r="J18" s="3"/>
      <c r="K18" s="3"/>
      <c r="L18" s="3"/>
      <c r="M18" s="8"/>
      <c r="N18" s="8"/>
      <c r="O18" s="8"/>
      <c r="P18" s="6"/>
      <c r="Q18" s="6"/>
      <c r="R18" s="6"/>
      <c r="S18" s="27"/>
      <c r="T18" s="27"/>
      <c r="U18" s="6"/>
      <c r="V18" s="6"/>
      <c r="W18" s="6"/>
      <c r="X18" s="6"/>
      <c r="Y18" s="6"/>
      <c r="Z18" s="6"/>
      <c r="AA18" s="27"/>
      <c r="AC18" s="15"/>
      <c r="AD18" s="4"/>
    </row>
    <row r="19" spans="1:30" x14ac:dyDescent="0.25">
      <c r="A19">
        <v>13</v>
      </c>
      <c r="B19" t="s">
        <v>3</v>
      </c>
      <c r="C19" s="3"/>
      <c r="D19" s="3"/>
      <c r="E19" s="3"/>
      <c r="F19" s="3"/>
      <c r="G19" s="3"/>
      <c r="H19" s="3"/>
      <c r="I19" s="3">
        <v>16</v>
      </c>
      <c r="J19" s="3"/>
      <c r="K19" s="3"/>
      <c r="L19" s="3"/>
      <c r="M19" s="8"/>
      <c r="N19" s="8"/>
      <c r="O19" s="8"/>
      <c r="P19" s="6"/>
      <c r="Q19" s="6"/>
      <c r="R19" s="6"/>
      <c r="S19" s="27"/>
      <c r="T19" s="27"/>
      <c r="U19" s="6"/>
      <c r="V19" s="6"/>
      <c r="W19" s="6"/>
      <c r="X19" s="6"/>
      <c r="Y19" s="6"/>
      <c r="Z19" s="6"/>
      <c r="AA19" s="27"/>
      <c r="AC19" s="15"/>
      <c r="AD19" s="4"/>
    </row>
    <row r="20" spans="1:30" x14ac:dyDescent="0.25">
      <c r="A20">
        <v>14</v>
      </c>
      <c r="B20" t="s">
        <v>3</v>
      </c>
      <c r="C20" s="3"/>
      <c r="D20" s="3"/>
      <c r="E20" s="3"/>
      <c r="F20" s="3"/>
      <c r="G20" s="3">
        <v>41</v>
      </c>
      <c r="H20" s="3"/>
      <c r="I20" s="3"/>
      <c r="J20" s="3"/>
      <c r="K20" s="3"/>
      <c r="L20" s="3"/>
      <c r="M20" s="8"/>
      <c r="N20" s="8"/>
      <c r="O20" s="8"/>
      <c r="P20" s="6"/>
      <c r="Q20" s="6"/>
      <c r="R20" s="6"/>
      <c r="S20" s="27"/>
      <c r="T20" s="27"/>
      <c r="U20" s="6"/>
      <c r="V20" s="6"/>
      <c r="W20" s="6"/>
      <c r="X20" s="6"/>
      <c r="Y20" s="6"/>
      <c r="Z20" s="6"/>
      <c r="AA20" s="27"/>
      <c r="AC20" s="15"/>
      <c r="AD20" s="4"/>
    </row>
    <row r="21" spans="1:30" x14ac:dyDescent="0.25">
      <c r="A21">
        <v>15</v>
      </c>
      <c r="B21" t="s">
        <v>3</v>
      </c>
      <c r="C21" s="3"/>
      <c r="D21" s="3"/>
      <c r="E21" s="3"/>
      <c r="F21" s="3"/>
      <c r="G21" s="3">
        <v>39</v>
      </c>
      <c r="H21" s="3"/>
      <c r="I21" s="3"/>
      <c r="J21" s="3"/>
      <c r="K21" s="3"/>
      <c r="L21" s="3"/>
      <c r="M21" s="8"/>
      <c r="N21" s="8"/>
      <c r="O21" s="8"/>
      <c r="P21" s="6"/>
      <c r="Q21" s="6"/>
      <c r="R21" s="6"/>
      <c r="S21" s="27"/>
      <c r="T21" s="27"/>
      <c r="U21" s="6"/>
      <c r="V21" s="6"/>
      <c r="W21" s="6"/>
      <c r="X21" s="6"/>
      <c r="Y21" s="6"/>
      <c r="Z21" s="6"/>
      <c r="AA21" s="27"/>
      <c r="AC21" s="15"/>
      <c r="AD21" s="4"/>
    </row>
    <row r="22" spans="1:30" x14ac:dyDescent="0.25">
      <c r="A22">
        <v>16</v>
      </c>
      <c r="B22" t="s">
        <v>3</v>
      </c>
      <c r="C22" s="3"/>
      <c r="D22" s="3"/>
      <c r="E22" s="3"/>
      <c r="F22" s="3"/>
      <c r="G22" s="3"/>
      <c r="H22" s="3"/>
      <c r="I22" s="3">
        <v>16</v>
      </c>
      <c r="J22" s="3"/>
      <c r="K22" s="3"/>
      <c r="L22" s="3"/>
      <c r="M22" s="8"/>
      <c r="N22" s="8"/>
      <c r="O22" s="8"/>
      <c r="P22" s="6"/>
      <c r="Q22" s="6"/>
      <c r="R22" s="6"/>
      <c r="S22" s="27"/>
      <c r="T22" s="27"/>
      <c r="U22" s="6"/>
      <c r="V22" s="6"/>
      <c r="W22" s="6"/>
      <c r="X22" s="6"/>
      <c r="Y22" s="6"/>
      <c r="Z22" s="6"/>
      <c r="AA22" s="27"/>
      <c r="AC22" s="15"/>
      <c r="AD22" s="4"/>
    </row>
    <row r="23" spans="1:30" x14ac:dyDescent="0.25">
      <c r="A23">
        <v>17</v>
      </c>
      <c r="B23" t="s">
        <v>3</v>
      </c>
      <c r="C23" s="3"/>
      <c r="D23" s="3"/>
      <c r="E23" s="3"/>
      <c r="F23" s="3"/>
      <c r="G23" s="3">
        <v>30</v>
      </c>
      <c r="H23" s="3"/>
      <c r="I23" s="3"/>
      <c r="J23" s="3"/>
      <c r="K23" s="3"/>
      <c r="L23" s="3"/>
      <c r="M23" s="8"/>
      <c r="N23" s="8"/>
      <c r="O23" s="8"/>
      <c r="P23" s="6"/>
      <c r="Q23" s="6"/>
      <c r="R23" s="6"/>
      <c r="S23" s="27"/>
      <c r="T23" s="27"/>
      <c r="U23" s="6"/>
      <c r="V23" s="6"/>
      <c r="W23" s="6"/>
      <c r="X23" s="6"/>
      <c r="Y23" s="6"/>
      <c r="Z23" s="6"/>
      <c r="AA23" s="27"/>
      <c r="AC23" s="15"/>
      <c r="AD23" s="4"/>
    </row>
    <row r="24" spans="1:30" x14ac:dyDescent="0.25">
      <c r="A24">
        <v>18</v>
      </c>
      <c r="B24" t="s">
        <v>3</v>
      </c>
      <c r="C24" s="3" t="s">
        <v>78</v>
      </c>
      <c r="D24" s="3">
        <v>60</v>
      </c>
      <c r="E24" s="3"/>
      <c r="F24" s="3"/>
      <c r="G24" s="3">
        <v>38</v>
      </c>
      <c r="H24" s="3"/>
      <c r="I24" s="3"/>
      <c r="J24" s="3"/>
      <c r="K24" s="3"/>
      <c r="L24" s="3">
        <v>7</v>
      </c>
      <c r="M24" s="8"/>
      <c r="N24" s="8"/>
      <c r="O24" s="8"/>
      <c r="P24" s="6"/>
      <c r="Q24" s="6"/>
      <c r="R24" s="6"/>
      <c r="S24" s="27"/>
      <c r="T24" s="27"/>
      <c r="U24" s="6"/>
      <c r="V24" s="6"/>
      <c r="W24" s="6"/>
      <c r="X24" s="6"/>
      <c r="Y24" s="6"/>
      <c r="Z24" s="6"/>
      <c r="AA24" s="27"/>
      <c r="AC24" s="15"/>
      <c r="AD24" s="4"/>
    </row>
    <row r="25" spans="1:30" x14ac:dyDescent="0.25">
      <c r="A25">
        <v>19</v>
      </c>
      <c r="B25" t="s">
        <v>3</v>
      </c>
      <c r="C25" s="3" t="s">
        <v>35</v>
      </c>
      <c r="D25" s="3">
        <v>0</v>
      </c>
      <c r="E25" s="3"/>
      <c r="F25" s="3"/>
      <c r="G25" s="3"/>
      <c r="H25" s="3"/>
      <c r="I25" s="3">
        <v>165</v>
      </c>
      <c r="J25" s="3"/>
      <c r="K25" s="3"/>
      <c r="L25" s="3"/>
      <c r="M25" s="8"/>
      <c r="N25" s="8"/>
      <c r="O25" s="8"/>
      <c r="P25" s="6"/>
      <c r="Q25" s="6"/>
      <c r="R25" s="6"/>
      <c r="S25" s="27"/>
      <c r="T25" s="27"/>
      <c r="U25" s="6"/>
      <c r="V25" s="6"/>
      <c r="W25" s="6"/>
      <c r="X25" s="6"/>
      <c r="Y25" s="6"/>
      <c r="Z25" s="6"/>
      <c r="AA25" s="27"/>
      <c r="AC25" s="15"/>
      <c r="AD25" s="4"/>
    </row>
    <row r="26" spans="1:30" x14ac:dyDescent="0.25">
      <c r="A26">
        <v>20</v>
      </c>
      <c r="B26" t="s">
        <v>3</v>
      </c>
      <c r="C26" s="3" t="s">
        <v>35</v>
      </c>
      <c r="D26" s="3">
        <v>0</v>
      </c>
      <c r="E26" s="3"/>
      <c r="F26" s="3"/>
      <c r="G26" s="3"/>
      <c r="H26" s="3"/>
      <c r="I26" s="3">
        <v>166</v>
      </c>
      <c r="J26" s="3"/>
      <c r="K26" s="3"/>
      <c r="L26" s="3"/>
      <c r="M26" s="8"/>
      <c r="N26" s="8"/>
      <c r="O26" s="8"/>
      <c r="P26" s="6"/>
      <c r="Q26" s="6"/>
      <c r="R26" s="6"/>
      <c r="S26" s="27"/>
      <c r="T26" s="27"/>
      <c r="U26" s="6"/>
      <c r="V26" s="6"/>
      <c r="W26" s="6"/>
      <c r="X26" s="6"/>
      <c r="Y26" s="6"/>
      <c r="Z26" s="6"/>
      <c r="AA26" s="27"/>
      <c r="AC26" s="15"/>
      <c r="AD26" s="4"/>
    </row>
    <row r="27" spans="1:30" x14ac:dyDescent="0.25">
      <c r="A27">
        <v>21</v>
      </c>
      <c r="B27" t="s">
        <v>3</v>
      </c>
      <c r="C27" s="3" t="s">
        <v>35</v>
      </c>
      <c r="D27" s="3">
        <v>0</v>
      </c>
      <c r="E27" s="3"/>
      <c r="F27" s="3"/>
      <c r="G27" s="3"/>
      <c r="H27" s="3"/>
      <c r="I27" s="3">
        <v>181</v>
      </c>
      <c r="J27" s="3"/>
      <c r="K27" s="3"/>
      <c r="L27" s="3"/>
      <c r="M27" s="8"/>
      <c r="N27" s="8"/>
      <c r="O27" s="8"/>
      <c r="P27" s="6"/>
      <c r="Q27" s="6">
        <v>107</v>
      </c>
      <c r="R27" s="6">
        <v>6</v>
      </c>
      <c r="S27" s="27">
        <f>Q27*1000000</f>
        <v>107000000</v>
      </c>
      <c r="T27" s="27"/>
      <c r="U27" s="6"/>
      <c r="V27" s="6"/>
      <c r="W27" s="6" t="s">
        <v>63</v>
      </c>
      <c r="X27" s="6">
        <v>56</v>
      </c>
      <c r="Y27" s="6">
        <v>5</v>
      </c>
      <c r="Z27" s="6"/>
      <c r="AA27" s="27">
        <f>X27*100000</f>
        <v>5600000</v>
      </c>
      <c r="AC27" s="15">
        <f t="shared" si="5"/>
        <v>5.2336448598130847</v>
      </c>
      <c r="AD27" s="4">
        <f t="shared" si="0"/>
        <v>101400000</v>
      </c>
    </row>
    <row r="32" spans="1:30" x14ac:dyDescent="0.25">
      <c r="AB32" s="4"/>
    </row>
  </sheetData>
  <mergeCells count="2">
    <mergeCell ref="M5:Q5"/>
    <mergeCell ref="U5:Y5"/>
  </mergeCells>
  <pageMargins left="0.70866141732283472" right="0.70866141732283472" top="0.74803149606299213" bottom="0.74803149606299213" header="0.31496062992125984" footer="0.31496062992125984"/>
  <pageSetup paperSize="9" scale="61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2"/>
  <sheetViews>
    <sheetView workbookViewId="0"/>
  </sheetViews>
  <sheetFormatPr defaultRowHeight="15" x14ac:dyDescent="0.25"/>
  <cols>
    <col min="3" max="3" width="13.85546875" customWidth="1"/>
    <col min="5" max="6" width="9.140625" hidden="1" customWidth="1"/>
    <col min="7" max="7" width="11" hidden="1" customWidth="1"/>
    <col min="8" max="11" width="9.140625" hidden="1" customWidth="1"/>
    <col min="13" max="13" width="10.5703125" customWidth="1"/>
    <col min="18" max="18" width="10" bestFit="1" customWidth="1"/>
    <col min="19" max="19" width="10" customWidth="1"/>
    <col min="25" max="25" width="8.140625" customWidth="1"/>
    <col min="26" max="26" width="9.140625" style="4"/>
  </cols>
  <sheetData>
    <row r="1" spans="1:31" x14ac:dyDescent="0.25">
      <c r="A1" t="s">
        <v>0</v>
      </c>
      <c r="G1" s="1">
        <v>41835</v>
      </c>
      <c r="H1" t="s">
        <v>58</v>
      </c>
      <c r="L1" t="s">
        <v>294</v>
      </c>
      <c r="O1" t="s">
        <v>293</v>
      </c>
    </row>
    <row r="2" spans="1:31" x14ac:dyDescent="0.25">
      <c r="A2" s="31" t="s">
        <v>335</v>
      </c>
      <c r="D2" t="s">
        <v>83</v>
      </c>
    </row>
    <row r="3" spans="1:31" x14ac:dyDescent="0.25">
      <c r="A3" t="s">
        <v>1</v>
      </c>
      <c r="D3" t="s">
        <v>231</v>
      </c>
    </row>
    <row r="4" spans="1:31" x14ac:dyDescent="0.25">
      <c r="H4" t="s">
        <v>37</v>
      </c>
      <c r="M4" s="2" t="s">
        <v>70</v>
      </c>
    </row>
    <row r="5" spans="1:31" x14ac:dyDescent="0.25">
      <c r="G5" t="s">
        <v>59</v>
      </c>
      <c r="L5" s="39" t="s">
        <v>295</v>
      </c>
      <c r="M5" s="39"/>
      <c r="N5" s="39"/>
      <c r="O5" s="39"/>
      <c r="P5" s="39"/>
      <c r="T5" s="39" t="s">
        <v>296</v>
      </c>
      <c r="U5" s="39"/>
      <c r="V5" s="39"/>
      <c r="W5" s="39"/>
      <c r="X5" s="39"/>
    </row>
    <row r="6" spans="1:31" x14ac:dyDescent="0.25">
      <c r="A6" t="s">
        <v>27</v>
      </c>
      <c r="C6" t="s">
        <v>28</v>
      </c>
      <c r="D6" t="s">
        <v>67</v>
      </c>
      <c r="G6" t="s">
        <v>60</v>
      </c>
      <c r="H6">
        <v>-2</v>
      </c>
      <c r="I6">
        <v>-4</v>
      </c>
      <c r="J6">
        <v>-5</v>
      </c>
      <c r="K6">
        <v>-6</v>
      </c>
      <c r="L6" t="s">
        <v>304</v>
      </c>
      <c r="M6" s="26">
        <v>-2</v>
      </c>
      <c r="N6" s="26">
        <v>-3</v>
      </c>
      <c r="O6" s="26">
        <v>-4</v>
      </c>
      <c r="P6" s="26">
        <v>-5</v>
      </c>
      <c r="Q6" s="26">
        <v>-6</v>
      </c>
      <c r="R6" s="26">
        <v>-7</v>
      </c>
      <c r="S6" s="27" t="s">
        <v>341</v>
      </c>
      <c r="T6" s="27" t="s">
        <v>129</v>
      </c>
      <c r="U6" s="26">
        <v>-2</v>
      </c>
      <c r="V6" s="26">
        <v>-3</v>
      </c>
      <c r="W6" s="26">
        <v>-4</v>
      </c>
      <c r="X6" s="26">
        <v>-5</v>
      </c>
      <c r="Y6" s="26">
        <v>-6</v>
      </c>
      <c r="Z6" s="26">
        <v>-7</v>
      </c>
      <c r="AA6" s="27" t="s">
        <v>341</v>
      </c>
      <c r="AB6" t="s">
        <v>129</v>
      </c>
      <c r="AC6" t="s">
        <v>341</v>
      </c>
      <c r="AD6" t="s">
        <v>68</v>
      </c>
      <c r="AE6" t="s">
        <v>129</v>
      </c>
    </row>
    <row r="7" spans="1:31" x14ac:dyDescent="0.25">
      <c r="A7">
        <v>1</v>
      </c>
      <c r="B7" t="s">
        <v>3</v>
      </c>
      <c r="C7" t="s">
        <v>73</v>
      </c>
      <c r="D7">
        <v>5</v>
      </c>
      <c r="I7">
        <v>167</v>
      </c>
      <c r="L7">
        <v>65</v>
      </c>
      <c r="M7" s="26"/>
      <c r="N7" s="26"/>
      <c r="O7" s="26"/>
      <c r="P7" s="26"/>
      <c r="Q7" s="26">
        <v>82</v>
      </c>
      <c r="R7" s="26">
        <v>7</v>
      </c>
      <c r="S7" s="27">
        <f>Q7*1000000</f>
        <v>82000000</v>
      </c>
      <c r="T7" s="28">
        <f>LOG($S$27/S7)</f>
        <v>-0.16562582537751624</v>
      </c>
      <c r="U7" s="26"/>
      <c r="V7" s="26"/>
      <c r="W7" s="26"/>
      <c r="X7" s="26">
        <v>57</v>
      </c>
      <c r="Y7" s="26">
        <v>5</v>
      </c>
      <c r="Z7" s="26"/>
      <c r="AA7" s="27">
        <f>X7*100000</f>
        <v>5700000</v>
      </c>
      <c r="AB7" s="28">
        <f>LOG($AA$27/AA7)</f>
        <v>-0.17609125905568127</v>
      </c>
      <c r="AC7" s="15">
        <f>AA7/S7*100</f>
        <v>6.9512195121951228</v>
      </c>
      <c r="AD7" s="4">
        <f t="shared" ref="AD7:AD27" si="0">S7-AA7</f>
        <v>76300000</v>
      </c>
      <c r="AE7">
        <f>LOG($AD$27/AD7)</f>
        <v>-0.1648540349526183</v>
      </c>
    </row>
    <row r="8" spans="1:31" x14ac:dyDescent="0.25">
      <c r="A8">
        <v>2</v>
      </c>
      <c r="B8" t="s">
        <v>3</v>
      </c>
      <c r="C8" t="s">
        <v>74</v>
      </c>
      <c r="D8">
        <v>30</v>
      </c>
      <c r="I8">
        <v>80</v>
      </c>
      <c r="L8">
        <v>65</v>
      </c>
      <c r="M8" s="26"/>
      <c r="N8" s="26"/>
      <c r="O8" s="26"/>
      <c r="P8" s="26"/>
      <c r="Q8" s="26">
        <v>57</v>
      </c>
      <c r="R8" s="26">
        <v>5</v>
      </c>
      <c r="S8" s="27">
        <f t="shared" ref="S8:S10" si="1">Q8*1000000</f>
        <v>57000000</v>
      </c>
      <c r="T8" s="28">
        <f t="shared" ref="T8:T12" si="2">LOG($S$27/S8)</f>
        <v>-7.6868286662910065E-3</v>
      </c>
      <c r="U8" s="26"/>
      <c r="V8" s="26"/>
      <c r="W8" s="26"/>
      <c r="X8" s="26">
        <v>45</v>
      </c>
      <c r="Y8" s="26">
        <v>8</v>
      </c>
      <c r="Z8" s="26"/>
      <c r="AA8" s="27">
        <f t="shared" ref="AA8:AA10" si="3">X8*100000</f>
        <v>4500000</v>
      </c>
      <c r="AB8" s="28">
        <f t="shared" ref="AB8:AB12" si="4">LOG($AA$27/AA8)</f>
        <v>-7.342891715853353E-2</v>
      </c>
      <c r="AC8" s="15">
        <f t="shared" ref="AC8:AC27" si="5">AA8/S8*100</f>
        <v>7.8947368421052628</v>
      </c>
      <c r="AD8" s="4">
        <f t="shared" si="0"/>
        <v>52500000</v>
      </c>
      <c r="AE8">
        <f t="shared" ref="AE8:AE12" si="6">LOG($AD$27/AD8)</f>
        <v>-2.488800403694702E-3</v>
      </c>
    </row>
    <row r="9" spans="1:31" x14ac:dyDescent="0.25">
      <c r="A9">
        <v>3</v>
      </c>
      <c r="B9" t="s">
        <v>3</v>
      </c>
      <c r="C9" t="s">
        <v>75</v>
      </c>
      <c r="D9">
        <v>60</v>
      </c>
      <c r="F9" s="3"/>
      <c r="I9">
        <v>13</v>
      </c>
      <c r="L9">
        <v>65</v>
      </c>
      <c r="M9" s="26"/>
      <c r="N9" s="26"/>
      <c r="O9" s="26"/>
      <c r="P9" s="26"/>
      <c r="Q9" s="26">
        <v>32</v>
      </c>
      <c r="R9" s="26">
        <v>3</v>
      </c>
      <c r="S9" s="27">
        <f t="shared" si="1"/>
        <v>32000000</v>
      </c>
      <c r="T9" s="28">
        <f t="shared" si="2"/>
        <v>0.24303804868629444</v>
      </c>
      <c r="U9" s="26"/>
      <c r="V9" s="26"/>
      <c r="W9" s="26"/>
      <c r="X9" s="26">
        <v>45</v>
      </c>
      <c r="Y9" s="26">
        <v>7</v>
      </c>
      <c r="Z9" s="26"/>
      <c r="AA9" s="27">
        <f t="shared" si="3"/>
        <v>4500000</v>
      </c>
      <c r="AB9" s="28">
        <f t="shared" si="4"/>
        <v>-7.342891715853353E-2</v>
      </c>
      <c r="AC9" s="15">
        <f t="shared" si="5"/>
        <v>14.0625</v>
      </c>
      <c r="AD9" s="4">
        <f t="shared" si="0"/>
        <v>27500000</v>
      </c>
      <c r="AE9">
        <f t="shared" si="6"/>
        <v>0.27833780917199952</v>
      </c>
    </row>
    <row r="10" spans="1:31" x14ac:dyDescent="0.25">
      <c r="A10">
        <v>4</v>
      </c>
      <c r="B10" t="s">
        <v>3</v>
      </c>
      <c r="C10" s="3" t="s">
        <v>76</v>
      </c>
      <c r="D10">
        <v>5</v>
      </c>
      <c r="F10" s="3"/>
      <c r="I10">
        <v>121</v>
      </c>
      <c r="L10">
        <v>75</v>
      </c>
      <c r="M10" s="26"/>
      <c r="N10" s="26"/>
      <c r="O10" s="26"/>
      <c r="P10" s="26"/>
      <c r="Q10" s="26">
        <v>21</v>
      </c>
      <c r="R10" s="26">
        <v>3</v>
      </c>
      <c r="S10" s="27">
        <f t="shared" si="1"/>
        <v>21000000</v>
      </c>
      <c r="T10" s="28">
        <f t="shared" si="2"/>
        <v>0.4259687322722811</v>
      </c>
      <c r="U10" s="26"/>
      <c r="V10" s="26"/>
      <c r="W10" s="26"/>
      <c r="X10" s="26">
        <v>41</v>
      </c>
      <c r="Y10" s="26">
        <v>2</v>
      </c>
      <c r="Z10" s="26"/>
      <c r="AA10" s="27">
        <f t="shared" si="3"/>
        <v>4100000</v>
      </c>
      <c r="AB10" s="28">
        <f t="shared" si="4"/>
        <v>-3.3000260102925318E-2</v>
      </c>
      <c r="AC10" s="15">
        <f t="shared" si="5"/>
        <v>19.523809523809526</v>
      </c>
      <c r="AD10" s="4">
        <f t="shared" si="0"/>
        <v>16900000</v>
      </c>
      <c r="AE10">
        <f t="shared" si="6"/>
        <v>0.4897837983885886</v>
      </c>
    </row>
    <row r="11" spans="1:31" x14ac:dyDescent="0.25">
      <c r="A11">
        <v>5</v>
      </c>
      <c r="B11" t="s">
        <v>3</v>
      </c>
      <c r="C11" s="3" t="s">
        <v>77</v>
      </c>
      <c r="D11">
        <v>30</v>
      </c>
      <c r="F11" s="3"/>
      <c r="I11">
        <v>78</v>
      </c>
      <c r="L11">
        <v>75</v>
      </c>
      <c r="M11" s="26"/>
      <c r="N11" s="26"/>
      <c r="O11" s="26"/>
      <c r="P11" s="26">
        <v>43</v>
      </c>
      <c r="Q11" s="26">
        <v>3</v>
      </c>
      <c r="R11" s="26"/>
      <c r="S11" s="27">
        <f>P11*100000</f>
        <v>4300000</v>
      </c>
      <c r="T11" s="28">
        <f t="shared" si="2"/>
        <v>1.1147195714266138</v>
      </c>
      <c r="U11" s="26"/>
      <c r="V11" s="26"/>
      <c r="W11" s="26">
        <v>252</v>
      </c>
      <c r="X11" s="26">
        <v>39</v>
      </c>
      <c r="Y11" s="26"/>
      <c r="Z11" s="26"/>
      <c r="AA11" s="27">
        <f>W11*10000</f>
        <v>2520000</v>
      </c>
      <c r="AB11" s="28">
        <f t="shared" si="4"/>
        <v>0.17838305583526606</v>
      </c>
      <c r="AC11" s="15">
        <f t="shared" si="5"/>
        <v>58.604651162790702</v>
      </c>
      <c r="AD11" s="4">
        <f t="shared" si="0"/>
        <v>1780000</v>
      </c>
      <c r="AE11">
        <f t="shared" si="6"/>
        <v>1.4672505006933683</v>
      </c>
    </row>
    <row r="12" spans="1:31" x14ac:dyDescent="0.25">
      <c r="A12">
        <v>6</v>
      </c>
      <c r="B12" t="s">
        <v>3</v>
      </c>
      <c r="C12" s="3" t="s">
        <v>78</v>
      </c>
      <c r="D12">
        <v>60</v>
      </c>
      <c r="F12" s="3"/>
      <c r="I12">
        <v>15</v>
      </c>
      <c r="L12">
        <v>75</v>
      </c>
      <c r="M12" s="26"/>
      <c r="N12" s="26"/>
      <c r="O12" s="26">
        <v>172</v>
      </c>
      <c r="P12" s="26">
        <v>13</v>
      </c>
      <c r="Q12" s="26">
        <v>0</v>
      </c>
      <c r="R12" s="26"/>
      <c r="S12" s="27">
        <f>O12*10000</f>
        <v>1720000</v>
      </c>
      <c r="T12" s="28">
        <f t="shared" si="2"/>
        <v>1.5126595800986515</v>
      </c>
      <c r="U12" s="26"/>
      <c r="V12" s="26"/>
      <c r="W12" s="26">
        <v>173</v>
      </c>
      <c r="X12" s="26">
        <v>14</v>
      </c>
      <c r="Y12" s="26"/>
      <c r="Z12" s="26"/>
      <c r="AA12" s="27">
        <f>W12*10000</f>
        <v>1730000</v>
      </c>
      <c r="AB12" s="28">
        <f t="shared" si="4"/>
        <v>0.34173749348801474</v>
      </c>
      <c r="AC12" s="15">
        <f t="shared" si="5"/>
        <v>100.58139534883721</v>
      </c>
      <c r="AD12" s="29">
        <v>1</v>
      </c>
      <c r="AE12">
        <f t="shared" si="6"/>
        <v>7.7176705030022621</v>
      </c>
    </row>
    <row r="13" spans="1:31" x14ac:dyDescent="0.25">
      <c r="A13">
        <v>7</v>
      </c>
      <c r="B13" t="s">
        <v>3</v>
      </c>
      <c r="F13" s="3"/>
      <c r="I13">
        <v>149</v>
      </c>
      <c r="M13" s="26"/>
      <c r="N13" s="26"/>
      <c r="O13" s="26"/>
      <c r="P13" s="26"/>
      <c r="Q13" s="26"/>
      <c r="R13" s="26"/>
      <c r="S13" s="27"/>
      <c r="T13" s="27"/>
      <c r="U13" s="26"/>
      <c r="V13" s="26"/>
      <c r="W13" s="26"/>
      <c r="X13" s="26"/>
      <c r="Y13" s="26"/>
      <c r="Z13" s="26"/>
      <c r="AA13" s="27"/>
      <c r="AC13" s="15"/>
      <c r="AD13" s="4"/>
    </row>
    <row r="14" spans="1:31" x14ac:dyDescent="0.25">
      <c r="A14">
        <v>8</v>
      </c>
      <c r="B14" t="s">
        <v>3</v>
      </c>
      <c r="F14" s="3"/>
      <c r="I14">
        <v>117</v>
      </c>
      <c r="M14" s="26"/>
      <c r="N14" s="26"/>
      <c r="O14" s="26"/>
      <c r="P14" s="26"/>
      <c r="Q14" s="26"/>
      <c r="R14" s="26"/>
      <c r="S14" s="27"/>
      <c r="T14" s="27"/>
      <c r="U14" s="26"/>
      <c r="V14" s="26"/>
      <c r="W14" s="26"/>
      <c r="X14" s="26"/>
      <c r="Y14" s="26"/>
      <c r="Z14" s="26"/>
      <c r="AA14" s="27"/>
      <c r="AC14" s="15"/>
      <c r="AD14" s="4"/>
    </row>
    <row r="15" spans="1:31" x14ac:dyDescent="0.25">
      <c r="A15">
        <v>9</v>
      </c>
      <c r="B15" t="s">
        <v>3</v>
      </c>
      <c r="F15" s="3"/>
      <c r="I15">
        <v>14</v>
      </c>
      <c r="M15" s="26"/>
      <c r="N15" s="26"/>
      <c r="O15" s="26"/>
      <c r="P15" s="26"/>
      <c r="Q15" s="26"/>
      <c r="R15" s="26"/>
      <c r="S15" s="27"/>
      <c r="T15" s="27"/>
      <c r="U15" s="26"/>
      <c r="V15" s="26"/>
      <c r="W15" s="26"/>
      <c r="X15" s="26"/>
      <c r="Y15" s="26"/>
      <c r="Z15" s="26"/>
      <c r="AA15" s="27"/>
      <c r="AC15" s="15"/>
      <c r="AD15" s="4"/>
    </row>
    <row r="16" spans="1:31" x14ac:dyDescent="0.25">
      <c r="A16">
        <v>10</v>
      </c>
      <c r="B16" t="s">
        <v>3</v>
      </c>
      <c r="C16" s="3"/>
      <c r="D16" s="3"/>
      <c r="E16" s="3"/>
      <c r="F16" s="3"/>
      <c r="G16" s="3"/>
      <c r="H16" s="3"/>
      <c r="I16" s="3">
        <v>11</v>
      </c>
      <c r="J16" s="3"/>
      <c r="K16" s="3"/>
      <c r="L16" s="3"/>
      <c r="M16" s="8"/>
      <c r="N16" s="8"/>
      <c r="O16" s="8"/>
      <c r="P16" s="26"/>
      <c r="Q16" s="26"/>
      <c r="R16" s="26"/>
      <c r="S16" s="27"/>
      <c r="T16" s="27"/>
      <c r="U16" s="26"/>
      <c r="V16" s="26"/>
      <c r="W16" s="26"/>
      <c r="X16" s="26"/>
      <c r="Y16" s="26"/>
      <c r="Z16" s="26"/>
      <c r="AA16" s="27"/>
      <c r="AC16" s="15"/>
      <c r="AD16" s="4"/>
    </row>
    <row r="17" spans="1:30" x14ac:dyDescent="0.25">
      <c r="A17">
        <v>11</v>
      </c>
      <c r="B17" t="s">
        <v>3</v>
      </c>
      <c r="C17" s="3"/>
      <c r="D17" s="3"/>
      <c r="E17" s="3"/>
      <c r="F17" s="3"/>
      <c r="G17" s="3">
        <v>168</v>
      </c>
      <c r="H17" s="3"/>
      <c r="I17" s="3"/>
      <c r="J17" s="3"/>
      <c r="K17" s="3"/>
      <c r="L17" s="3"/>
      <c r="M17" s="8"/>
      <c r="N17" s="8"/>
      <c r="O17" s="8"/>
      <c r="P17" s="26"/>
      <c r="Q17" s="26"/>
      <c r="R17" s="26"/>
      <c r="S17" s="27"/>
      <c r="T17" s="27"/>
      <c r="U17" s="26"/>
      <c r="V17" s="26"/>
      <c r="W17" s="26"/>
      <c r="X17" s="26"/>
      <c r="Y17" s="26"/>
      <c r="Z17" s="26"/>
      <c r="AA17" s="27"/>
      <c r="AC17" s="15"/>
      <c r="AD17" s="4"/>
    </row>
    <row r="18" spans="1:30" x14ac:dyDescent="0.25">
      <c r="A18">
        <v>12</v>
      </c>
      <c r="B18" t="s">
        <v>3</v>
      </c>
      <c r="C18" s="3"/>
      <c r="D18" s="3"/>
      <c r="E18" s="3"/>
      <c r="F18" s="3"/>
      <c r="G18" s="3">
        <v>38</v>
      </c>
      <c r="H18" s="3"/>
      <c r="I18" s="3"/>
      <c r="J18" s="3"/>
      <c r="K18" s="3"/>
      <c r="L18" s="3"/>
      <c r="M18" s="8"/>
      <c r="N18" s="8"/>
      <c r="O18" s="8"/>
      <c r="P18" s="26"/>
      <c r="Q18" s="26"/>
      <c r="R18" s="26"/>
      <c r="S18" s="27"/>
      <c r="T18" s="27"/>
      <c r="U18" s="26"/>
      <c r="V18" s="26"/>
      <c r="W18" s="26"/>
      <c r="X18" s="26"/>
      <c r="Y18" s="26"/>
      <c r="Z18" s="26"/>
      <c r="AA18" s="27"/>
      <c r="AC18" s="15"/>
      <c r="AD18" s="4"/>
    </row>
    <row r="19" spans="1:30" x14ac:dyDescent="0.25">
      <c r="A19">
        <v>13</v>
      </c>
      <c r="B19" t="s">
        <v>3</v>
      </c>
      <c r="C19" s="3"/>
      <c r="D19" s="3"/>
      <c r="E19" s="3"/>
      <c r="F19" s="3"/>
      <c r="G19" s="3"/>
      <c r="H19" s="3"/>
      <c r="I19" s="3">
        <v>16</v>
      </c>
      <c r="J19" s="3"/>
      <c r="K19" s="3"/>
      <c r="L19" s="3"/>
      <c r="M19" s="8"/>
      <c r="N19" s="8"/>
      <c r="O19" s="8"/>
      <c r="P19" s="26"/>
      <c r="Q19" s="26"/>
      <c r="R19" s="26"/>
      <c r="S19" s="27"/>
      <c r="T19" s="27"/>
      <c r="U19" s="26"/>
      <c r="V19" s="26"/>
      <c r="W19" s="26"/>
      <c r="X19" s="26"/>
      <c r="Y19" s="26"/>
      <c r="Z19" s="26"/>
      <c r="AA19" s="27"/>
      <c r="AC19" s="15"/>
      <c r="AD19" s="4"/>
    </row>
    <row r="20" spans="1:30" x14ac:dyDescent="0.25">
      <c r="A20">
        <v>14</v>
      </c>
      <c r="B20" t="s">
        <v>3</v>
      </c>
      <c r="C20" s="3"/>
      <c r="D20" s="3"/>
      <c r="E20" s="3"/>
      <c r="F20" s="3"/>
      <c r="G20" s="3">
        <v>41</v>
      </c>
      <c r="H20" s="3"/>
      <c r="I20" s="3"/>
      <c r="J20" s="3"/>
      <c r="K20" s="3"/>
      <c r="L20" s="3"/>
      <c r="M20" s="8"/>
      <c r="N20" s="8"/>
      <c r="O20" s="8"/>
      <c r="P20" s="26"/>
      <c r="Q20" s="26"/>
      <c r="R20" s="26"/>
      <c r="S20" s="27"/>
      <c r="T20" s="27"/>
      <c r="U20" s="26"/>
      <c r="V20" s="26"/>
      <c r="W20" s="26"/>
      <c r="X20" s="26"/>
      <c r="Y20" s="26"/>
      <c r="Z20" s="26"/>
      <c r="AA20" s="27"/>
      <c r="AC20" s="15"/>
      <c r="AD20" s="4"/>
    </row>
    <row r="21" spans="1:30" x14ac:dyDescent="0.25">
      <c r="A21">
        <v>15</v>
      </c>
      <c r="B21" t="s">
        <v>3</v>
      </c>
      <c r="C21" s="3"/>
      <c r="D21" s="3"/>
      <c r="E21" s="3"/>
      <c r="F21" s="3"/>
      <c r="G21" s="3">
        <v>39</v>
      </c>
      <c r="H21" s="3"/>
      <c r="I21" s="3"/>
      <c r="J21" s="3"/>
      <c r="K21" s="3"/>
      <c r="L21" s="3"/>
      <c r="M21" s="8"/>
      <c r="N21" s="8"/>
      <c r="O21" s="8"/>
      <c r="P21" s="26"/>
      <c r="Q21" s="26"/>
      <c r="R21" s="26"/>
      <c r="S21" s="27"/>
      <c r="T21" s="27"/>
      <c r="U21" s="26"/>
      <c r="V21" s="26"/>
      <c r="W21" s="26"/>
      <c r="X21" s="26"/>
      <c r="Y21" s="26"/>
      <c r="Z21" s="26"/>
      <c r="AA21" s="27"/>
      <c r="AC21" s="15"/>
      <c r="AD21" s="4"/>
    </row>
    <row r="22" spans="1:30" x14ac:dyDescent="0.25">
      <c r="A22">
        <v>16</v>
      </c>
      <c r="B22" t="s">
        <v>3</v>
      </c>
      <c r="C22" s="3"/>
      <c r="D22" s="3"/>
      <c r="E22" s="3"/>
      <c r="F22" s="3"/>
      <c r="G22" s="3"/>
      <c r="H22" s="3"/>
      <c r="I22" s="3">
        <v>16</v>
      </c>
      <c r="J22" s="3"/>
      <c r="K22" s="3"/>
      <c r="L22" s="3"/>
      <c r="M22" s="8"/>
      <c r="N22" s="8"/>
      <c r="O22" s="8"/>
      <c r="P22" s="26"/>
      <c r="Q22" s="26"/>
      <c r="R22" s="26"/>
      <c r="S22" s="27"/>
      <c r="T22" s="27"/>
      <c r="U22" s="26"/>
      <c r="V22" s="26"/>
      <c r="W22" s="26"/>
      <c r="X22" s="26"/>
      <c r="Y22" s="26"/>
      <c r="Z22" s="26"/>
      <c r="AA22" s="27"/>
      <c r="AC22" s="15"/>
      <c r="AD22" s="4"/>
    </row>
    <row r="23" spans="1:30" x14ac:dyDescent="0.25">
      <c r="A23">
        <v>17</v>
      </c>
      <c r="B23" t="s">
        <v>3</v>
      </c>
      <c r="C23" s="3"/>
      <c r="D23" s="3"/>
      <c r="E23" s="3"/>
      <c r="F23" s="3"/>
      <c r="G23" s="3">
        <v>30</v>
      </c>
      <c r="H23" s="3"/>
      <c r="I23" s="3"/>
      <c r="J23" s="3"/>
      <c r="K23" s="3"/>
      <c r="L23" s="3"/>
      <c r="M23" s="8"/>
      <c r="N23" s="8"/>
      <c r="O23" s="8"/>
      <c r="P23" s="26"/>
      <c r="Q23" s="26"/>
      <c r="R23" s="26"/>
      <c r="S23" s="27"/>
      <c r="T23" s="27"/>
      <c r="U23" s="26"/>
      <c r="V23" s="26"/>
      <c r="W23" s="26"/>
      <c r="X23" s="26"/>
      <c r="Y23" s="26"/>
      <c r="Z23" s="26"/>
      <c r="AA23" s="27"/>
      <c r="AC23" s="15"/>
      <c r="AD23" s="4"/>
    </row>
    <row r="24" spans="1:30" x14ac:dyDescent="0.25">
      <c r="A24">
        <v>18</v>
      </c>
      <c r="B24" t="s">
        <v>3</v>
      </c>
      <c r="C24" s="3" t="s">
        <v>78</v>
      </c>
      <c r="D24" s="3">
        <v>60</v>
      </c>
      <c r="E24" s="3"/>
      <c r="F24" s="3"/>
      <c r="G24" s="3">
        <v>38</v>
      </c>
      <c r="H24" s="3"/>
      <c r="I24" s="3"/>
      <c r="J24" s="3"/>
      <c r="K24" s="3"/>
      <c r="L24" s="3">
        <v>75</v>
      </c>
      <c r="M24" s="8"/>
      <c r="N24" s="8"/>
      <c r="O24" s="8"/>
      <c r="P24" s="26"/>
      <c r="Q24" s="26"/>
      <c r="R24" s="26"/>
      <c r="S24" s="27"/>
      <c r="T24" s="27"/>
      <c r="U24" s="26"/>
      <c r="V24" s="26"/>
      <c r="W24" s="26"/>
      <c r="X24" s="26"/>
      <c r="Y24" s="26"/>
      <c r="Z24" s="26"/>
      <c r="AA24" s="27"/>
      <c r="AC24" s="15"/>
      <c r="AD24" s="4"/>
    </row>
    <row r="25" spans="1:30" x14ac:dyDescent="0.25">
      <c r="A25">
        <v>19</v>
      </c>
      <c r="B25" t="s">
        <v>3</v>
      </c>
      <c r="C25" s="3" t="s">
        <v>35</v>
      </c>
      <c r="D25" s="3">
        <v>0</v>
      </c>
      <c r="E25" s="3"/>
      <c r="F25" s="3"/>
      <c r="G25" s="3"/>
      <c r="H25" s="3"/>
      <c r="I25" s="3">
        <v>165</v>
      </c>
      <c r="J25" s="3"/>
      <c r="K25" s="3"/>
      <c r="L25" s="3"/>
      <c r="M25" s="8"/>
      <c r="N25" s="8"/>
      <c r="O25" s="8"/>
      <c r="P25" s="26"/>
      <c r="Q25" s="26"/>
      <c r="R25" s="26"/>
      <c r="S25" s="27"/>
      <c r="T25" s="27"/>
      <c r="U25" s="26"/>
      <c r="V25" s="26"/>
      <c r="W25" s="26"/>
      <c r="X25" s="26"/>
      <c r="Y25" s="26"/>
      <c r="Z25" s="26"/>
      <c r="AA25" s="27"/>
      <c r="AC25" s="15"/>
      <c r="AD25" s="4"/>
    </row>
    <row r="26" spans="1:30" x14ac:dyDescent="0.25">
      <c r="A26">
        <v>20</v>
      </c>
      <c r="B26" t="s">
        <v>3</v>
      </c>
      <c r="C26" s="3" t="s">
        <v>35</v>
      </c>
      <c r="D26" s="3">
        <v>0</v>
      </c>
      <c r="E26" s="3"/>
      <c r="F26" s="3"/>
      <c r="G26" s="3"/>
      <c r="H26" s="3"/>
      <c r="I26" s="3">
        <v>166</v>
      </c>
      <c r="J26" s="3"/>
      <c r="K26" s="3"/>
      <c r="L26" s="3"/>
      <c r="M26" s="8"/>
      <c r="N26" s="8"/>
      <c r="O26" s="8"/>
      <c r="P26" s="26"/>
      <c r="Q26" s="26"/>
      <c r="R26" s="26"/>
      <c r="S26" s="27"/>
      <c r="T26" s="27"/>
      <c r="U26" s="26"/>
      <c r="V26" s="26"/>
      <c r="W26" s="26"/>
      <c r="X26" s="26"/>
      <c r="Y26" s="26"/>
      <c r="Z26" s="26"/>
      <c r="AA26" s="27"/>
      <c r="AC26" s="15"/>
      <c r="AD26" s="4"/>
    </row>
    <row r="27" spans="1:30" x14ac:dyDescent="0.25">
      <c r="A27">
        <v>21</v>
      </c>
      <c r="B27" t="s">
        <v>3</v>
      </c>
      <c r="C27" s="3" t="s">
        <v>35</v>
      </c>
      <c r="D27" s="3">
        <v>0</v>
      </c>
      <c r="E27" s="3"/>
      <c r="F27" s="3"/>
      <c r="G27" s="3"/>
      <c r="H27" s="3"/>
      <c r="I27" s="3">
        <v>181</v>
      </c>
      <c r="J27" s="3"/>
      <c r="K27" s="3"/>
      <c r="L27" s="3"/>
      <c r="M27" s="8"/>
      <c r="N27" s="8"/>
      <c r="O27" s="8"/>
      <c r="P27" s="26"/>
      <c r="Q27" s="26">
        <v>56</v>
      </c>
      <c r="R27" s="26">
        <v>3</v>
      </c>
      <c r="S27" s="27">
        <f>Q27*1000000</f>
        <v>56000000</v>
      </c>
      <c r="T27" s="27"/>
      <c r="U27" s="26"/>
      <c r="V27" s="26"/>
      <c r="W27" s="26" t="s">
        <v>63</v>
      </c>
      <c r="X27" s="26">
        <v>38</v>
      </c>
      <c r="Y27" s="26">
        <v>6</v>
      </c>
      <c r="Z27" s="26"/>
      <c r="AA27" s="27">
        <f>X27*100000</f>
        <v>3800000</v>
      </c>
      <c r="AC27" s="15">
        <f t="shared" si="5"/>
        <v>6.7857142857142856</v>
      </c>
      <c r="AD27" s="4">
        <f t="shared" si="0"/>
        <v>52200000</v>
      </c>
    </row>
    <row r="32" spans="1:30" x14ac:dyDescent="0.25">
      <c r="AA32" s="4"/>
    </row>
  </sheetData>
  <mergeCells count="2">
    <mergeCell ref="L5:P5"/>
    <mergeCell ref="T5:X5"/>
  </mergeCells>
  <pageMargins left="0.70866141732283472" right="0.70866141732283472" top="0.74803149606299213" bottom="0.74803149606299213" header="0.31496062992125984" footer="0.31496062992125984"/>
  <pageSetup paperSize="9" scale="61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AW Spreadsheet - ri" ma:contentTypeID="0x010100A9DA6B69649D064BA1FED635B4268B25090087ED985ACEE2F947B6096F40E80923AA001921DB2E8FCDB94197E217A01F79D50A" ma:contentTypeVersion="8" ma:contentTypeDescription="" ma:contentTypeScope="" ma:versionID="2b3561d0a482474b63afaba928550cb1">
  <xsd:schema xmlns:xsd="http://www.w3.org/2001/XMLSchema" xmlns:xs="http://www.w3.org/2001/XMLSchema" xmlns:p="http://schemas.microsoft.com/office/2006/metadata/properties" xmlns:ns2="5fdf7e53-931b-49ff-8bb0-e48ee008b7f0" targetNamespace="http://schemas.microsoft.com/office/2006/metadata/properties" ma:root="true" ma:fieldsID="282fb59b15f3b9dfb4c6f67736156d28" ns2:_="">
    <xsd:import namespace="5fdf7e53-931b-49ff-8bb0-e48ee008b7f0"/>
    <xsd:element name="properties">
      <xsd:complexType>
        <xsd:sequence>
          <xsd:element name="documentManagement">
            <xsd:complexType>
              <xsd:all>
                <xsd:element ref="ns2:Security_x0020_Classification"/>
                <xsd:element ref="ns2:SAW_x0020_Security_x0020_Members_x0020_Group" minOccurs="0"/>
                <xsd:element ref="ns2:SAW_x0020_Security_x0020_Visitors_x0020_Group" minOccurs="0"/>
                <xsd:element ref="ns2:Record_x0020_Creation_x0020_Date" minOccurs="0"/>
                <xsd:element ref="ns2:Native_x0020_Title" minOccurs="0"/>
                <xsd:element ref="ns2:TaxCatchAllLabel" minOccurs="0"/>
                <xsd:element ref="ns2:d62b7f4ed3a541c89c01ae711376debc" minOccurs="0"/>
                <xsd:element ref="ns2:TaxCatchAll" minOccurs="0"/>
                <xsd:element ref="ns2:e3fec0a48afc471b8d585f093684bac5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df7e53-931b-49ff-8bb0-e48ee008b7f0" elementFormDefault="qualified">
    <xsd:import namespace="http://schemas.microsoft.com/office/2006/documentManagement/types"/>
    <xsd:import namespace="http://schemas.microsoft.com/office/infopath/2007/PartnerControls"/>
    <xsd:element name="Security_x0020_Classification" ma:index="3" ma:displayName="Security Classification" ma:default="For Official Use Only" ma:format="Dropdown" ma:internalName="Security_x0020_Classification0" ma:readOnly="false">
      <xsd:simpleType>
        <xsd:restriction base="dms:Choice">
          <xsd:enumeration value="For Official Use Only"/>
          <xsd:enumeration value="Sensitive"/>
          <xsd:enumeration value="Sensitive - Personal"/>
          <xsd:enumeration value="Sensitive - Legal"/>
          <xsd:enumeration value="Sensitive - Commercial"/>
          <xsd:enumeration value="Sensitive - SA Cabinet"/>
          <xsd:enumeration value="Sensitive - Medical"/>
          <xsd:enumeration value="Classified - PROTECTED"/>
          <xsd:enumeration value="Public"/>
        </xsd:restriction>
      </xsd:simpleType>
    </xsd:element>
    <xsd:element name="SAW_x0020_Security_x0020_Members_x0020_Group" ma:index="4" nillable="true" ma:displayName="SAW Security Members Group" ma:description="Populate this field when security needs to be restricted to specific users or groups (members/edit permissions)" ma:list="UserInfo" ma:SearchPeopleOnly="false" ma:SharePointGroup="0" ma:internalName="SAW_x0020_Security_x0020_Members_x0020_Group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AW_x0020_Security_x0020_Visitors_x0020_Group" ma:index="5" nillable="true" ma:displayName="SAW Security Visitors Group" ma:description="Populate this field when security needs to be restricted to specific users or groups (visitors/read-only permissions)" ma:list="UserInfo" ma:SearchPeopleOnly="false" ma:SharePointGroup="0" ma:internalName="SAW_x0020_Security_x0020_Visitors_x0020_Group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cord_x0020_Creation_x0020_Date" ma:index="7" nillable="true" ma:displayName="Record Creation Date" ma:format="DateOnly" ma:internalName="Record_x0020_Creation_x0020_Date">
      <xsd:simpleType>
        <xsd:restriction base="dms:DateTime"/>
      </xsd:simpleType>
    </xsd:element>
    <xsd:element name="Native_x0020_Title" ma:index="8" nillable="true" ma:displayName="Native Title" ma:default="0" ma:internalName="Native_x0020_Title">
      <xsd:simpleType>
        <xsd:restriction base="dms:Boolean"/>
      </xsd:simpleType>
    </xsd:element>
    <xsd:element name="TaxCatchAllLabel" ma:index="10" nillable="true" ma:displayName="Taxonomy Catch All Column1" ma:hidden="true" ma:list="{55448660-7a9a-466a-b02b-4beaf8283cf6}" ma:internalName="TaxCatchAllLabel" ma:readOnly="true" ma:showField="CatchAllDataLabel" ma:web="c8b4e4ae-b20d-4be1-97ad-bb23d42609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62b7f4ed3a541c89c01ae711376debc" ma:index="12" nillable="true" ma:taxonomy="true" ma:internalName="d62b7f4ed3a541c89c01ae711376debc" ma:taxonomyFieldName="Team" ma:displayName="Team" ma:default="2;#Research ＆ Innovation|c4dd88ad-9900-4837-8ae0-ab70a5f841d1" ma:fieldId="{d62b7f4e-d3a5-41c8-9c01-ae711376debc}" ma:sspId="a4de77e8-7539-4d64-bf31-3166bd8b2841" ma:termSetId="2ace34d1-ffcc-4158-a5ba-7d07fe05ce9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55448660-7a9a-466a-b02b-4beaf8283cf6}" ma:internalName="TaxCatchAll" ma:showField="CatchAllData" ma:web="c8b4e4ae-b20d-4be1-97ad-bb23d42609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3fec0a48afc471b8d585f093684bac5" ma:index="17" ma:taxonomy="true" ma:internalName="e3fec0a48afc471b8d585f093684bac5" ma:taxonomyFieldName="Business_x0020_Process" ma:displayName="Business Process" ma:default="" ma:fieldId="{e3fec0a4-8afc-471b-8d58-5f093684bac5}" ma:sspId="a4de77e8-7539-4d64-bf31-3166bd8b2841" ma:termSetId="0a51e5b7-5b97-4b89-a26b-f9525d92f89c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6" ma:displayName="Author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a4de77e8-7539-4d64-bf31-3166bd8b2841" ContentTypeId="0x010100A9DA6B69649D064BA1FED635B4268B2509" PreviousValue="false"/>
</file>

<file path=customXml/item3.xml><?xml version="1.0" encoding="utf-8"?>
<p:properties xmlns:p="http://schemas.microsoft.com/office/2006/metadata/properties" xmlns:xsi="http://www.w3.org/2001/XMLSchema-instance">
  <documentManagement>
    <Security_x0020_Classification xmlns="5fdf7e53-931b-49ff-8bb0-e48ee008b7f0">For Official Use Only</Security_x0020_Classification>
    <SAW_x0020_Security_x0020_Members_x0020_Group xmlns="5fdf7e53-931b-49ff-8bb0-e48ee008b7f0">
      <UserInfo>
        <DisplayName/>
        <AccountId xsi:nil="true"/>
        <AccountType/>
      </UserInfo>
    </SAW_x0020_Security_x0020_Members_x0020_Group>
    <Record_x0020_Creation_x0020_Date xmlns="5fdf7e53-931b-49ff-8bb0-e48ee008b7f0" xsi:nil="true"/>
    <SAW_x0020_Security_x0020_Visitors_x0020_Group xmlns="5fdf7e53-931b-49ff-8bb0-e48ee008b7f0">
      <UserInfo>
        <DisplayName/>
        <AccountId xsi:nil="true"/>
        <AccountType/>
      </UserInfo>
    </SAW_x0020_Security_x0020_Visitors_x0020_Group>
    <d62b7f4ed3a541c89c01ae711376debc xmlns="5fdf7e53-931b-49ff-8bb0-e48ee008b7f0">
      <Terms xmlns="http://schemas.microsoft.com/office/infopath/2007/PartnerControls">
        <TermInfo xmlns="http://schemas.microsoft.com/office/infopath/2007/PartnerControls">
          <TermName xmlns="http://schemas.microsoft.com/office/infopath/2007/PartnerControls"/>
          <TermId xmlns="http://schemas.microsoft.com/office/infopath/2007/PartnerControls">c4dd88ad-9900-4837-8ae0-ab70a5f841d1</TermId>
        </TermInfo>
      </Terms>
    </d62b7f4ed3a541c89c01ae711376debc>
    <e3fec0a48afc471b8d585f093684bac5 xmlns="5fdf7e53-931b-49ff-8bb0-e48ee008b7f0">
      <Terms xmlns="http://schemas.microsoft.com/office/infopath/2007/PartnerControls">
        <TermInfo xmlns="http://schemas.microsoft.com/office/infopath/2007/PartnerControls">
          <TermName xmlns="http://schemas.microsoft.com/office/infopath/2007/PartnerControls"/>
          <TermId xmlns="http://schemas.microsoft.com/office/infopath/2007/PartnerControls">bbca9607-2e6f-4255-8ee8-a68fd558899e</TermId>
        </TermInfo>
      </Terms>
    </e3fec0a48afc471b8d585f093684bac5>
    <Native_x0020_Title xmlns="5fdf7e53-931b-49ff-8bb0-e48ee008b7f0">false</Native_x0020_Title>
    <TaxCatchAll xmlns="5fdf7e53-931b-49ff-8bb0-e48ee008b7f0">
      <Value>3</Value>
      <Value>2</Value>
    </TaxCatchAl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CEE208-14E0-4B97-8D10-D9F76A1CBE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df7e53-931b-49ff-8bb0-e48ee008b7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0AF397-A077-41AE-A76B-8DAE910061A8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5906BC39-8DA2-4A3D-84E8-41836BF5B823}">
  <ds:schemaRefs>
    <ds:schemaRef ds:uri="5fdf7e53-931b-49ff-8bb0-e48ee008b7f0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1B908E7E-E2E6-4BC6-B317-D5F2F68B90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Index</vt:lpstr>
      <vt:lpstr>Pond water quality 2014</vt:lpstr>
      <vt:lpstr>Design 8May</vt:lpstr>
      <vt:lpstr>Results 8May</vt:lpstr>
      <vt:lpstr>MS2 Design 16May</vt:lpstr>
      <vt:lpstr>MS2 Results 16May </vt:lpstr>
      <vt:lpstr>MS2 Results 15&amp;22 July</vt:lpstr>
      <vt:lpstr>male specific 9 Oct</vt:lpstr>
      <vt:lpstr>male specific 13 Oct</vt:lpstr>
      <vt:lpstr>male specific 16 Oct</vt:lpstr>
      <vt:lpstr>Crypto expt 21May</vt:lpstr>
      <vt:lpstr>Crypto expt 28May</vt:lpstr>
      <vt:lpstr>Crypto expt 4Jun</vt:lpstr>
      <vt:lpstr>Crypto expt 18Jun</vt:lpstr>
      <vt:lpstr>Giardia expt 5Aug</vt:lpstr>
      <vt:lpstr>Ec  expt 22May</vt:lpstr>
      <vt:lpstr>Ec  expt 27May</vt:lpstr>
      <vt:lpstr>Ec  expt 4Jun</vt:lpstr>
      <vt:lpstr>Enterococci  expt 29May</vt:lpstr>
      <vt:lpstr>Enterococci  expt 12June</vt:lpstr>
      <vt:lpstr>Enterococci  expt 19June</vt:lpstr>
      <vt:lpstr>Adeno2 expt 17 June</vt:lpstr>
      <vt:lpstr>Adeno2 expt 8 July</vt:lpstr>
      <vt:lpstr>CB5 expt 22 July </vt:lpstr>
      <vt:lpstr>CB5 expt 29 July</vt:lpstr>
      <vt:lpstr>Sheet1</vt:lpstr>
    </vt:vector>
  </TitlesOfParts>
  <Company>South Australian Water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mo000931</dc:creator>
  <cp:lastModifiedBy>Victoria University</cp:lastModifiedBy>
  <cp:lastPrinted>2014-06-18T23:59:03Z</cp:lastPrinted>
  <dcterms:created xsi:type="dcterms:W3CDTF">2014-05-08T03:09:12Z</dcterms:created>
  <dcterms:modified xsi:type="dcterms:W3CDTF">2016-05-30T06:55:19Z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0x010100A9DA6B69649D064BA1FED635B4268B25090087ED985ACEE2F947B6096F40E80923AA001921DB2E8FCDB94197E217A01F79D50A</vt:lpwstr>
  </property>
  <property fmtid="{D5CDD505-2E9C-101B-9397-08002B2CF9AE}" pid="3" name="URL">
    <vt:lpwstr/>
  </property>
  <property fmtid="{D5CDD505-2E9C-101B-9397-08002B2CF9AE}" pid="4" name="Order">
    <vt:r8>177100</vt:r8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Research Projects File Type">
    <vt:lpwstr>Report</vt:lpwstr>
  </property>
  <property fmtid="{D5CDD505-2E9C-101B-9397-08002B2CF9AE}" pid="8" name="LegacyContentTypeField">
    <vt:lpwstr>Research Projects</vt:lpwstr>
  </property>
  <property fmtid="{D5CDD505-2E9C-101B-9397-08002B2CF9AE}" pid="9" name="Record Type">
    <vt:lpwstr>Document</vt:lpwstr>
  </property>
  <property fmtid="{D5CDD505-2E9C-101B-9397-08002B2CF9AE}" pid="10" name="Security Classification">
    <vt:lpwstr>Unclassified</vt:lpwstr>
  </property>
  <property fmtid="{D5CDD505-2E9C-101B-9397-08002B2CF9AE}" pid="11" name="Business Process">
    <vt:lpwstr>3;#|bbca9607-2e6f-4255-8ee8-a68fd558899e</vt:lpwstr>
  </property>
  <property fmtid="{D5CDD505-2E9C-101B-9397-08002B2CF9AE}" pid="12" name="LegacySecClassField">
    <vt:lpwstr>Unclassified</vt:lpwstr>
  </property>
  <property fmtid="{D5CDD505-2E9C-101B-9397-08002B2CF9AE}" pid="13" name="Team">
    <vt:lpwstr>2;#|c4dd88ad-9900-4837-8ae0-ab70a5f841d1</vt:lpwstr>
  </property>
  <property fmtid="{D5CDD505-2E9C-101B-9397-08002B2CF9AE}" pid="14" name="_MarkAsFinal">
    <vt:bool>true</vt:bool>
  </property>
</Properties>
</file>