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315" windowWidth="22995" windowHeight="9300" tabRatio="730"/>
  </bookViews>
  <sheets>
    <sheet name="Index" sheetId="14" r:id="rId1"/>
    <sheet name="Tracer studies" sheetId="9" r:id="rId2"/>
    <sheet name="Water Quality at challenge test" sheetId="1" r:id="rId3"/>
    <sheet name="Microbial Challenge Low Flow" sheetId="4" r:id="rId4"/>
    <sheet name="Microbial Challenge MS2+E.coli" sheetId="5" r:id="rId5"/>
    <sheet name="Microbial Challenge HF(1)" sheetId="3" r:id="rId6"/>
    <sheet name="Microbial Challenge HF(2)" sheetId="6" r:id="rId7"/>
    <sheet name="Microbial Challenge HF(3)" sheetId="7" r:id="rId8"/>
    <sheet name="Microbial Challenge HF(4)" sheetId="8" r:id="rId9"/>
    <sheet name="Calc. Ventura Val." sheetId="12" r:id="rId10"/>
    <sheet name="Calc. Low before+high after" sheetId="11" r:id="rId11"/>
    <sheet name="Sheet1" sheetId="13" r:id="rId12"/>
  </sheets>
  <calcPr calcId="145621"/>
</workbook>
</file>

<file path=xl/calcChain.xml><?xml version="1.0" encoding="utf-8"?>
<calcChain xmlns="http://schemas.openxmlformats.org/spreadsheetml/2006/main">
  <c r="G36" i="1" l="1"/>
  <c r="G30" i="1"/>
  <c r="G24" i="1"/>
  <c r="U36" i="1"/>
  <c r="U30" i="1"/>
  <c r="U24" i="1"/>
  <c r="Q36" i="1"/>
  <c r="Q30" i="1"/>
  <c r="Q24" i="1"/>
  <c r="L36" i="1"/>
  <c r="L30" i="1"/>
  <c r="L24" i="1"/>
  <c r="X30" i="12" l="1"/>
  <c r="M5" i="8" l="1"/>
  <c r="L5" i="8"/>
  <c r="S27" i="11" l="1"/>
  <c r="S26" i="11"/>
  <c r="S25" i="11"/>
  <c r="S24" i="11"/>
  <c r="S23" i="11"/>
  <c r="S22" i="11"/>
  <c r="M41" i="11"/>
  <c r="M40" i="11"/>
  <c r="M39" i="11"/>
  <c r="M38" i="11"/>
  <c r="M37" i="11"/>
  <c r="M36" i="11"/>
  <c r="R27" i="11"/>
  <c r="R26" i="11"/>
  <c r="R25" i="11"/>
  <c r="R24" i="11"/>
  <c r="R23" i="11"/>
  <c r="R22" i="11"/>
  <c r="Q27" i="11"/>
  <c r="Q26" i="11"/>
  <c r="Q25" i="11"/>
  <c r="Q24" i="11"/>
  <c r="Q23" i="11"/>
  <c r="Q22" i="11"/>
  <c r="P26" i="11"/>
  <c r="P25" i="11"/>
  <c r="P22" i="11"/>
  <c r="M25" i="11"/>
  <c r="M24" i="11"/>
  <c r="M23" i="11"/>
  <c r="M22" i="11"/>
  <c r="M21" i="11"/>
  <c r="M20" i="11"/>
  <c r="M17" i="11"/>
  <c r="M16" i="11"/>
  <c r="M15" i="11"/>
  <c r="M14" i="11"/>
  <c r="M13" i="11"/>
  <c r="M12" i="11"/>
  <c r="M9" i="11"/>
  <c r="P27" i="11" s="1"/>
  <c r="M8" i="11"/>
  <c r="M7" i="11"/>
  <c r="M6" i="11"/>
  <c r="P24" i="11" s="1"/>
  <c r="M5" i="11"/>
  <c r="P23" i="11" s="1"/>
  <c r="M4" i="11"/>
  <c r="V27" i="12"/>
  <c r="V26" i="12"/>
  <c r="V25" i="12"/>
  <c r="V24" i="12"/>
  <c r="V23" i="12"/>
  <c r="V22" i="12"/>
  <c r="U27" i="12"/>
  <c r="U26" i="12"/>
  <c r="U25" i="12"/>
  <c r="U24" i="12"/>
  <c r="U23" i="12"/>
  <c r="U22" i="12"/>
  <c r="P42" i="12"/>
  <c r="P41" i="12"/>
  <c r="P40" i="12"/>
  <c r="P39" i="12"/>
  <c r="P38" i="12"/>
  <c r="P37" i="12"/>
  <c r="Q37" i="12" s="1"/>
  <c r="P26" i="12"/>
  <c r="Q26" i="12" s="1"/>
  <c r="P25" i="12"/>
  <c r="Q25" i="12" s="1"/>
  <c r="P24" i="12"/>
  <c r="Q24" i="12" s="1"/>
  <c r="P23" i="12"/>
  <c r="Q23" i="12" s="1"/>
  <c r="P22" i="12"/>
  <c r="Q22" i="12" s="1"/>
  <c r="P21" i="12"/>
  <c r="Q21" i="12" s="1"/>
  <c r="P18" i="12"/>
  <c r="Q18" i="12" s="1"/>
  <c r="P17" i="12"/>
  <c r="Q17" i="12" s="1"/>
  <c r="P16" i="12"/>
  <c r="Q16" i="12" s="1"/>
  <c r="P15" i="12"/>
  <c r="Q15" i="12" s="1"/>
  <c r="P14" i="12"/>
  <c r="Q14" i="12" s="1"/>
  <c r="P13" i="12"/>
  <c r="Q13" i="12" s="1"/>
  <c r="P10" i="12"/>
  <c r="Q10" i="12" s="1"/>
  <c r="T27" i="12" s="1"/>
  <c r="P9" i="12"/>
  <c r="Q9" i="12" s="1"/>
  <c r="T26" i="12" s="1"/>
  <c r="P8" i="12"/>
  <c r="Q8" i="12" s="1"/>
  <c r="T25" i="12" s="1"/>
  <c r="P7" i="12"/>
  <c r="Q7" i="12" s="1"/>
  <c r="T24" i="12" s="1"/>
  <c r="P6" i="12"/>
  <c r="Q6" i="12" s="1"/>
  <c r="T23" i="12" s="1"/>
  <c r="P5" i="12"/>
  <c r="Q5" i="12" s="1"/>
  <c r="T22" i="12" s="1"/>
  <c r="K34" i="8" l="1"/>
  <c r="K33" i="8"/>
  <c r="K32" i="8"/>
  <c r="K31" i="8"/>
  <c r="K30" i="8"/>
  <c r="K29" i="8"/>
  <c r="M29" i="8" s="1"/>
  <c r="K26" i="8"/>
  <c r="K25" i="8"/>
  <c r="K24" i="8"/>
  <c r="K23" i="8"/>
  <c r="K22" i="8"/>
  <c r="M21" i="8"/>
  <c r="O21" i="8" s="1"/>
  <c r="K21" i="8"/>
  <c r="L21" i="8" s="1"/>
  <c r="K18" i="8"/>
  <c r="K17" i="8"/>
  <c r="K16" i="8"/>
  <c r="K15" i="8"/>
  <c r="K14" i="8"/>
  <c r="K13" i="8"/>
  <c r="M13" i="8" s="1"/>
  <c r="O13" i="8" s="1"/>
  <c r="K10" i="8"/>
  <c r="K9" i="8"/>
  <c r="K8" i="8"/>
  <c r="K7" i="8"/>
  <c r="K6" i="8"/>
  <c r="K5" i="8"/>
  <c r="O5" i="8" l="1"/>
  <c r="O38" i="8" s="1"/>
  <c r="L13" i="8"/>
  <c r="L29" i="8"/>
  <c r="N5" i="5"/>
  <c r="N13" i="8" l="1"/>
  <c r="N21" i="8"/>
  <c r="N5" i="8"/>
  <c r="J8" i="11"/>
  <c r="J5" i="11"/>
  <c r="L9" i="12"/>
  <c r="L6" i="12"/>
  <c r="K9" i="7"/>
  <c r="K6" i="7"/>
  <c r="R30" i="11" l="1"/>
  <c r="R29" i="11"/>
  <c r="V30" i="12"/>
  <c r="U30" i="12"/>
  <c r="T30" i="12"/>
  <c r="S30" i="11"/>
  <c r="Q30" i="11"/>
  <c r="P30" i="11"/>
  <c r="V29" i="12" l="1"/>
  <c r="U29" i="12"/>
  <c r="T29" i="12"/>
  <c r="S29" i="11"/>
  <c r="R31" i="11" s="1"/>
  <c r="Q29" i="11"/>
  <c r="P29" i="11"/>
  <c r="R33" i="11"/>
  <c r="Q33" i="11"/>
  <c r="P33" i="11"/>
  <c r="S34" i="11"/>
  <c r="J36" i="11"/>
  <c r="J37" i="11"/>
  <c r="J38" i="11"/>
  <c r="J39" i="11"/>
  <c r="J40" i="11"/>
  <c r="J41" i="11"/>
  <c r="G36" i="11"/>
  <c r="G37" i="11"/>
  <c r="G38" i="11"/>
  <c r="G39" i="11"/>
  <c r="G40" i="11"/>
  <c r="G41" i="11"/>
  <c r="D12" i="11"/>
  <c r="D13" i="11"/>
  <c r="D14" i="11"/>
  <c r="D15" i="11"/>
  <c r="D16" i="11"/>
  <c r="D17" i="11"/>
  <c r="V31" i="12"/>
  <c r="U31" i="12"/>
  <c r="T31" i="12"/>
  <c r="D37" i="12"/>
  <c r="D38" i="12"/>
  <c r="D39" i="12"/>
  <c r="D40" i="12"/>
  <c r="D41" i="12"/>
  <c r="D42" i="12"/>
  <c r="P31" i="11" l="1"/>
  <c r="Q31" i="11"/>
  <c r="R35" i="11"/>
  <c r="Q35" i="11"/>
  <c r="P35" i="11"/>
  <c r="E37" i="12"/>
  <c r="D41" i="11"/>
  <c r="D40" i="11"/>
  <c r="D39" i="11"/>
  <c r="D38" i="11"/>
  <c r="D37" i="11"/>
  <c r="D36" i="11"/>
  <c r="D33" i="11"/>
  <c r="D32" i="11"/>
  <c r="D31" i="11"/>
  <c r="D30" i="11"/>
  <c r="D29" i="11"/>
  <c r="D28" i="11"/>
  <c r="J25" i="11"/>
  <c r="G25" i="11"/>
  <c r="D25" i="11"/>
  <c r="J24" i="11"/>
  <c r="G24" i="11"/>
  <c r="D24" i="11"/>
  <c r="J23" i="11"/>
  <c r="G23" i="11"/>
  <c r="D23" i="11"/>
  <c r="J22" i="11"/>
  <c r="G22" i="11"/>
  <c r="D22" i="11"/>
  <c r="J21" i="11"/>
  <c r="G21" i="11"/>
  <c r="D21" i="11"/>
  <c r="J20" i="11"/>
  <c r="G20" i="11"/>
  <c r="D20" i="11"/>
  <c r="J17" i="11"/>
  <c r="G17" i="11"/>
  <c r="J16" i="11"/>
  <c r="G16" i="11"/>
  <c r="J15" i="11"/>
  <c r="G15" i="11"/>
  <c r="J14" i="11"/>
  <c r="G14" i="11"/>
  <c r="J13" i="11"/>
  <c r="G13" i="11"/>
  <c r="J12" i="11"/>
  <c r="G12" i="11"/>
  <c r="J9" i="11"/>
  <c r="G9" i="11"/>
  <c r="D9" i="11"/>
  <c r="G8" i="11"/>
  <c r="D8" i="11"/>
  <c r="J7" i="11"/>
  <c r="G7" i="11"/>
  <c r="D7" i="11"/>
  <c r="J6" i="11"/>
  <c r="G6" i="11"/>
  <c r="D6" i="11"/>
  <c r="G5" i="11"/>
  <c r="D5" i="11"/>
  <c r="J4" i="11"/>
  <c r="G4" i="11"/>
  <c r="D4" i="11"/>
  <c r="L42" i="12"/>
  <c r="H42" i="12"/>
  <c r="L41" i="12"/>
  <c r="H41" i="12"/>
  <c r="L40" i="12"/>
  <c r="H40" i="12"/>
  <c r="L39" i="12"/>
  <c r="H39" i="12"/>
  <c r="L38" i="12"/>
  <c r="H38" i="12"/>
  <c r="L37" i="12"/>
  <c r="H37" i="12"/>
  <c r="D34" i="12"/>
  <c r="D33" i="12"/>
  <c r="D32" i="12"/>
  <c r="D31" i="12"/>
  <c r="D30" i="12"/>
  <c r="D29" i="12"/>
  <c r="L26" i="12"/>
  <c r="H26" i="12"/>
  <c r="D26" i="12"/>
  <c r="L25" i="12"/>
  <c r="H25" i="12"/>
  <c r="D25" i="12"/>
  <c r="L24" i="12"/>
  <c r="H24" i="12"/>
  <c r="D24" i="12"/>
  <c r="L23" i="12"/>
  <c r="H23" i="12"/>
  <c r="D23" i="12"/>
  <c r="L22" i="12"/>
  <c r="H22" i="12"/>
  <c r="D22" i="12"/>
  <c r="L21" i="12"/>
  <c r="H21" i="12"/>
  <c r="D21" i="12"/>
  <c r="L18" i="12"/>
  <c r="H18" i="12"/>
  <c r="D18" i="12"/>
  <c r="L17" i="12"/>
  <c r="H17" i="12"/>
  <c r="D17" i="12"/>
  <c r="L16" i="12"/>
  <c r="H16" i="12"/>
  <c r="D16" i="12"/>
  <c r="L15" i="12"/>
  <c r="H15" i="12"/>
  <c r="D15" i="12"/>
  <c r="L14" i="12"/>
  <c r="H14" i="12"/>
  <c r="D14" i="12"/>
  <c r="L13" i="12"/>
  <c r="H13" i="12"/>
  <c r="D13" i="12"/>
  <c r="L10" i="12"/>
  <c r="H10" i="12"/>
  <c r="D10" i="12"/>
  <c r="H9" i="12"/>
  <c r="D9" i="12"/>
  <c r="L8" i="12"/>
  <c r="H8" i="12"/>
  <c r="D8" i="12"/>
  <c r="L7" i="12"/>
  <c r="H7" i="12"/>
  <c r="D7" i="12"/>
  <c r="H6" i="12"/>
  <c r="D6" i="12"/>
  <c r="L5" i="12"/>
  <c r="H5" i="12"/>
  <c r="D5" i="12"/>
  <c r="O5" i="6"/>
  <c r="K5" i="6"/>
  <c r="K6" i="6"/>
  <c r="K7" i="6"/>
  <c r="L5" i="6" s="1"/>
  <c r="K8" i="6"/>
  <c r="K9" i="6"/>
  <c r="K10" i="6"/>
  <c r="K13" i="6"/>
  <c r="M13" i="6" s="1"/>
  <c r="K14" i="6"/>
  <c r="L13" i="6" s="1"/>
  <c r="K15" i="6"/>
  <c r="K16" i="6"/>
  <c r="K17" i="6"/>
  <c r="K18" i="6"/>
  <c r="K21" i="6"/>
  <c r="K22" i="6"/>
  <c r="L21" i="6" s="1"/>
  <c r="K23" i="6"/>
  <c r="M21" i="6" s="1"/>
  <c r="K24" i="6"/>
  <c r="K25" i="6"/>
  <c r="K26" i="6"/>
  <c r="K29" i="6"/>
  <c r="M29" i="6" s="1"/>
  <c r="K30" i="6"/>
  <c r="K31" i="6"/>
  <c r="K32" i="6"/>
  <c r="L29" i="6" s="1"/>
  <c r="K33" i="6"/>
  <c r="K34" i="6"/>
  <c r="M37" i="12" l="1"/>
  <c r="E32" i="12"/>
  <c r="E26" i="12"/>
  <c r="E22" i="12"/>
  <c r="E16" i="12"/>
  <c r="E10" i="12"/>
  <c r="E6" i="12"/>
  <c r="E31" i="12"/>
  <c r="E25" i="12"/>
  <c r="E21" i="12"/>
  <c r="E15" i="12"/>
  <c r="E9" i="12"/>
  <c r="E5" i="12"/>
  <c r="E34" i="12"/>
  <c r="E30" i="12"/>
  <c r="E24" i="12"/>
  <c r="E18" i="12"/>
  <c r="E14" i="12"/>
  <c r="E8" i="12"/>
  <c r="E33" i="12"/>
  <c r="E29" i="12"/>
  <c r="E23" i="12"/>
  <c r="E17" i="12"/>
  <c r="E13" i="12"/>
  <c r="E7" i="12"/>
  <c r="I37" i="12"/>
  <c r="N13" i="6"/>
  <c r="N5" i="6"/>
  <c r="N21" i="6"/>
  <c r="O21" i="6"/>
  <c r="O13" i="6"/>
  <c r="M5" i="6"/>
  <c r="O38" i="6" s="1"/>
  <c r="M9" i="12" l="1"/>
  <c r="M6" i="12"/>
  <c r="M25" i="12"/>
  <c r="M16" i="12"/>
  <c r="M13" i="12"/>
  <c r="M7" i="12"/>
  <c r="I25" i="12"/>
  <c r="I21" i="12"/>
  <c r="I15" i="12"/>
  <c r="I9" i="12"/>
  <c r="I5" i="12"/>
  <c r="M24" i="12"/>
  <c r="M21" i="12"/>
  <c r="M15" i="12"/>
  <c r="M10" i="12"/>
  <c r="I24" i="12"/>
  <c r="I18" i="12"/>
  <c r="I14" i="12"/>
  <c r="I8" i="12"/>
  <c r="M23" i="12"/>
  <c r="M18" i="12"/>
  <c r="M14" i="12"/>
  <c r="M5" i="12"/>
  <c r="I23" i="12"/>
  <c r="I17" i="12"/>
  <c r="I13" i="12"/>
  <c r="I7" i="12"/>
  <c r="M26" i="12"/>
  <c r="M22" i="12"/>
  <c r="M17" i="12"/>
  <c r="M8" i="12"/>
  <c r="I26" i="12"/>
  <c r="I22" i="12"/>
  <c r="I16" i="12"/>
  <c r="I10" i="12"/>
  <c r="I6" i="12"/>
  <c r="K5" i="7" l="1"/>
  <c r="K34" i="7"/>
  <c r="K33" i="7"/>
  <c r="K32" i="7"/>
  <c r="K31" i="7"/>
  <c r="K30" i="7"/>
  <c r="K29" i="7"/>
  <c r="K26" i="7"/>
  <c r="K25" i="7"/>
  <c r="K24" i="7"/>
  <c r="K23" i="7"/>
  <c r="K22" i="7"/>
  <c r="K21" i="7"/>
  <c r="L21" i="7" s="1"/>
  <c r="K18" i="7"/>
  <c r="K17" i="7"/>
  <c r="K16" i="7"/>
  <c r="K15" i="7"/>
  <c r="K14" i="7"/>
  <c r="K13" i="7"/>
  <c r="K10" i="7"/>
  <c r="K8" i="7"/>
  <c r="M5" i="7" s="1"/>
  <c r="K7" i="7"/>
  <c r="L5" i="7" l="1"/>
  <c r="M13" i="7"/>
  <c r="M29" i="7"/>
  <c r="O13" i="7" s="1"/>
  <c r="O5" i="7"/>
  <c r="O38" i="7" s="1"/>
  <c r="M21" i="7"/>
  <c r="O21" i="7" s="1"/>
  <c r="L13" i="7"/>
  <c r="L29" i="7"/>
  <c r="N5" i="7" l="1"/>
  <c r="N21" i="7"/>
  <c r="N13" i="7"/>
  <c r="AK13" i="6" l="1"/>
  <c r="AM13" i="6"/>
  <c r="AM12" i="6"/>
  <c r="AM11" i="6"/>
  <c r="AM10" i="6"/>
  <c r="AM9" i="6"/>
  <c r="AM8" i="6"/>
  <c r="AM7" i="6"/>
  <c r="AM6" i="6"/>
  <c r="AM5" i="6"/>
  <c r="AK12" i="6"/>
  <c r="AK11" i="6"/>
  <c r="AK10" i="6"/>
  <c r="AK9" i="6"/>
  <c r="AK8" i="6"/>
  <c r="AK7" i="6"/>
  <c r="AK6" i="6"/>
  <c r="AK5" i="6"/>
  <c r="AG13" i="6"/>
  <c r="AE13" i="6"/>
  <c r="AG12" i="6"/>
  <c r="AG11" i="6"/>
  <c r="AG10" i="6"/>
  <c r="AG9" i="6"/>
  <c r="AG8" i="6"/>
  <c r="AG7" i="6"/>
  <c r="AG6" i="6"/>
  <c r="AG5" i="6"/>
  <c r="AE12" i="6"/>
  <c r="AE11" i="6"/>
  <c r="AE10" i="6"/>
  <c r="AE9" i="6"/>
  <c r="AE8" i="6"/>
  <c r="AE7" i="6"/>
  <c r="AE6" i="6"/>
  <c r="AE5" i="6"/>
  <c r="AA12" i="6"/>
  <c r="AA11" i="6"/>
  <c r="AA10" i="6"/>
  <c r="AA9" i="6"/>
  <c r="AA8" i="6"/>
  <c r="AA7" i="6"/>
  <c r="AA6" i="6"/>
  <c r="AA5" i="6"/>
  <c r="Y12" i="6"/>
  <c r="Y11" i="6"/>
  <c r="Y10" i="6"/>
  <c r="Y9" i="6"/>
  <c r="Y8" i="6"/>
  <c r="Y7" i="6"/>
  <c r="Y6" i="6"/>
  <c r="Y5" i="6"/>
  <c r="U12" i="6"/>
  <c r="U11" i="6"/>
  <c r="U10" i="6"/>
  <c r="U9" i="6"/>
  <c r="U8" i="6"/>
  <c r="U7" i="6"/>
  <c r="U6" i="6"/>
  <c r="U5" i="6"/>
  <c r="U18" i="6" s="1"/>
  <c r="S12" i="6"/>
  <c r="S11" i="6"/>
  <c r="S10" i="6"/>
  <c r="S9" i="6"/>
  <c r="S8" i="6"/>
  <c r="S7" i="6"/>
  <c r="S6" i="6"/>
  <c r="S5" i="6"/>
  <c r="S16" i="6" s="1"/>
  <c r="AI6" i="6"/>
  <c r="AI7" i="6" s="1"/>
  <c r="AI8" i="6" s="1"/>
  <c r="AI9" i="6" s="1"/>
  <c r="AI10" i="6" s="1"/>
  <c r="AI11" i="6" s="1"/>
  <c r="AI12" i="6" s="1"/>
  <c r="AI13" i="6" s="1"/>
  <c r="AI14" i="6" s="1"/>
  <c r="AI15" i="6" s="1"/>
  <c r="AI16" i="6" s="1"/>
  <c r="AI17" i="6" s="1"/>
  <c r="AI18" i="6" s="1"/>
  <c r="AI19" i="6" s="1"/>
  <c r="AC6" i="6"/>
  <c r="AC7" i="6" s="1"/>
  <c r="AC8" i="6" s="1"/>
  <c r="AC9" i="6" s="1"/>
  <c r="AC10" i="6" s="1"/>
  <c r="AC11" i="6" s="1"/>
  <c r="AC12" i="6" s="1"/>
  <c r="AC13" i="6" s="1"/>
  <c r="AC14" i="6" s="1"/>
  <c r="AC15" i="6" s="1"/>
  <c r="AC16" i="6" s="1"/>
  <c r="AC17" i="6" s="1"/>
  <c r="AC18" i="6" s="1"/>
  <c r="AC19" i="6" s="1"/>
  <c r="W6" i="6"/>
  <c r="W7" i="6" s="1"/>
  <c r="W8" i="6" s="1"/>
  <c r="W9" i="6" s="1"/>
  <c r="W10" i="6" s="1"/>
  <c r="W11" i="6" s="1"/>
  <c r="W12" i="6" s="1"/>
  <c r="W13" i="6" s="1"/>
  <c r="W14" i="6" s="1"/>
  <c r="W15" i="6" s="1"/>
  <c r="W16" i="6" s="1"/>
  <c r="W17" i="6" s="1"/>
  <c r="W18" i="6" s="1"/>
  <c r="W19" i="6" s="1"/>
  <c r="Q6" i="6"/>
  <c r="Q7" i="6" s="1"/>
  <c r="Q8" i="6" s="1"/>
  <c r="Q9" i="6" s="1"/>
  <c r="Q10" i="6" s="1"/>
  <c r="Q11" i="6" s="1"/>
  <c r="Q12" i="6" s="1"/>
  <c r="Q13" i="6" s="1"/>
  <c r="Q14" i="6" s="1"/>
  <c r="Q15" i="6" s="1"/>
  <c r="Q16" i="6" s="1"/>
  <c r="Q17" i="6" s="1"/>
  <c r="Q18" i="6" s="1"/>
  <c r="Q19" i="6" s="1"/>
  <c r="AM18" i="6" l="1"/>
  <c r="AK18" i="6"/>
  <c r="AG18" i="6"/>
  <c r="AE18" i="6"/>
  <c r="AA18" i="6"/>
  <c r="Y18" i="6"/>
  <c r="S18" i="6"/>
  <c r="AA16" i="6"/>
  <c r="U16" i="6"/>
  <c r="AK16" i="6"/>
  <c r="AE16" i="6"/>
  <c r="AM16" i="6"/>
  <c r="Y16" i="6"/>
  <c r="AG16" i="6"/>
  <c r="K10" i="3"/>
  <c r="K9" i="3"/>
  <c r="K8" i="3"/>
  <c r="K7" i="3"/>
  <c r="K5" i="3"/>
  <c r="K6" i="3"/>
  <c r="P5" i="4"/>
  <c r="O47" i="5" l="1"/>
  <c r="O33" i="5"/>
  <c r="O19" i="5"/>
  <c r="O5" i="5"/>
  <c r="O60" i="5"/>
  <c r="U33" i="5"/>
  <c r="U19" i="5"/>
  <c r="U5" i="5"/>
  <c r="N47" i="5"/>
  <c r="N33" i="5"/>
  <c r="N19" i="5"/>
  <c r="T33" i="5"/>
  <c r="T19" i="5"/>
  <c r="T5" i="5"/>
  <c r="S47" i="5"/>
  <c r="R47" i="5"/>
  <c r="S33" i="5"/>
  <c r="R33" i="5"/>
  <c r="S19" i="5"/>
  <c r="R19" i="5"/>
  <c r="S5" i="5"/>
  <c r="R5" i="5"/>
  <c r="Q58" i="5"/>
  <c r="Q57" i="5"/>
  <c r="Q56" i="5"/>
  <c r="Q55" i="5"/>
  <c r="Q54" i="5"/>
  <c r="Q53" i="5"/>
  <c r="Q52" i="5"/>
  <c r="Q51" i="5"/>
  <c r="Q50" i="5"/>
  <c r="Q49" i="5"/>
  <c r="Q48" i="5"/>
  <c r="Q47" i="5"/>
  <c r="Q44" i="5"/>
  <c r="Q43" i="5"/>
  <c r="Q42" i="5"/>
  <c r="Q41" i="5"/>
  <c r="Q40" i="5"/>
  <c r="Q39" i="5"/>
  <c r="R39" i="5" s="1"/>
  <c r="Q38" i="5"/>
  <c r="Q37" i="5"/>
  <c r="Q36" i="5"/>
  <c r="Q35" i="5"/>
  <c r="Q34" i="5"/>
  <c r="Q33" i="5"/>
  <c r="Q30" i="5"/>
  <c r="Q29" i="5"/>
  <c r="Q28" i="5"/>
  <c r="Q27" i="5"/>
  <c r="Q26" i="5"/>
  <c r="S25" i="5" s="1"/>
  <c r="R25" i="5"/>
  <c r="Q25" i="5"/>
  <c r="Q24" i="5"/>
  <c r="Q23" i="5"/>
  <c r="Q22" i="5"/>
  <c r="Q21" i="5"/>
  <c r="Q20" i="5"/>
  <c r="Q19" i="5"/>
  <c r="Q16" i="5"/>
  <c r="Q15" i="5"/>
  <c r="Q14" i="5"/>
  <c r="Q13" i="5"/>
  <c r="Q12" i="5"/>
  <c r="S11" i="5"/>
  <c r="R11" i="5"/>
  <c r="Q11" i="5"/>
  <c r="Q10" i="5"/>
  <c r="Q9" i="5"/>
  <c r="Q8" i="5"/>
  <c r="Q7" i="5"/>
  <c r="Q6" i="5"/>
  <c r="Q5" i="5"/>
  <c r="K58" i="5"/>
  <c r="K57" i="5"/>
  <c r="K56" i="5"/>
  <c r="K55" i="5"/>
  <c r="K54" i="5"/>
  <c r="M53" i="5" s="1"/>
  <c r="L53" i="5"/>
  <c r="K53" i="5"/>
  <c r="K52" i="5"/>
  <c r="K51" i="5"/>
  <c r="K50" i="5"/>
  <c r="K49" i="5"/>
  <c r="K48" i="5"/>
  <c r="M47" i="5" s="1"/>
  <c r="L47" i="5"/>
  <c r="K47" i="5"/>
  <c r="K44" i="5"/>
  <c r="K43" i="5"/>
  <c r="K42" i="5"/>
  <c r="K41" i="5"/>
  <c r="K40" i="5"/>
  <c r="M39" i="5"/>
  <c r="L39" i="5"/>
  <c r="K39" i="5"/>
  <c r="K38" i="5"/>
  <c r="K37" i="5"/>
  <c r="K36" i="5"/>
  <c r="K35" i="5"/>
  <c r="K34" i="5"/>
  <c r="M33" i="5" s="1"/>
  <c r="L33" i="5"/>
  <c r="K33" i="5"/>
  <c r="K30" i="5"/>
  <c r="K29" i="5"/>
  <c r="K28" i="5"/>
  <c r="K27" i="5"/>
  <c r="K26" i="5"/>
  <c r="M25" i="5"/>
  <c r="K25" i="5"/>
  <c r="L25" i="5" s="1"/>
  <c r="K24" i="5"/>
  <c r="K23" i="5"/>
  <c r="K22" i="5"/>
  <c r="K21" i="5"/>
  <c r="L19" i="5" s="1"/>
  <c r="K20" i="5"/>
  <c r="M19" i="5"/>
  <c r="K19" i="5"/>
  <c r="K16" i="5"/>
  <c r="K15" i="5"/>
  <c r="K14" i="5"/>
  <c r="K13" i="5"/>
  <c r="K12" i="5"/>
  <c r="K11" i="5"/>
  <c r="L11" i="5" s="1"/>
  <c r="K10" i="5"/>
  <c r="K9" i="5"/>
  <c r="K8" i="5"/>
  <c r="K7" i="5"/>
  <c r="K6" i="5"/>
  <c r="L5" i="5"/>
  <c r="K5" i="5"/>
  <c r="M5" i="5" s="1"/>
  <c r="K10" i="4"/>
  <c r="K42" i="4"/>
  <c r="K41" i="4"/>
  <c r="K40" i="4"/>
  <c r="K39" i="4"/>
  <c r="K38" i="4"/>
  <c r="K37" i="4"/>
  <c r="K34" i="4"/>
  <c r="K33" i="4"/>
  <c r="K32" i="4"/>
  <c r="K31" i="4"/>
  <c r="K30" i="4"/>
  <c r="K29" i="4"/>
  <c r="L29" i="4" s="1"/>
  <c r="K26" i="4"/>
  <c r="K25" i="4"/>
  <c r="K24" i="4"/>
  <c r="K23" i="4"/>
  <c r="K22" i="4"/>
  <c r="K21" i="4"/>
  <c r="K18" i="4"/>
  <c r="K17" i="4"/>
  <c r="K16" i="4"/>
  <c r="K15" i="4"/>
  <c r="K14" i="4"/>
  <c r="M13" i="4"/>
  <c r="K13" i="4"/>
  <c r="K9" i="4"/>
  <c r="K26" i="3"/>
  <c r="K25" i="3"/>
  <c r="K24" i="3"/>
  <c r="K23" i="3"/>
  <c r="K22" i="3"/>
  <c r="K21" i="3"/>
  <c r="K42" i="3"/>
  <c r="K41" i="3"/>
  <c r="K40" i="3"/>
  <c r="K39" i="3"/>
  <c r="K38" i="3"/>
  <c r="K37" i="3"/>
  <c r="K34" i="3"/>
  <c r="K33" i="3"/>
  <c r="K32" i="3"/>
  <c r="K31" i="3"/>
  <c r="K30" i="3"/>
  <c r="K29" i="3"/>
  <c r="K18" i="3"/>
  <c r="K17" i="3"/>
  <c r="K16" i="3"/>
  <c r="K15" i="3"/>
  <c r="K14" i="3"/>
  <c r="K13" i="3"/>
  <c r="M29" i="3" l="1"/>
  <c r="L13" i="3"/>
  <c r="L29" i="3"/>
  <c r="M37" i="3"/>
  <c r="L5" i="3"/>
  <c r="M29" i="4"/>
  <c r="M21" i="4"/>
  <c r="O21" i="4" s="1"/>
  <c r="M5" i="4"/>
  <c r="O5" i="4" s="1"/>
  <c r="O44" i="4" s="1"/>
  <c r="L13" i="4"/>
  <c r="M37" i="4"/>
  <c r="O13" i="4" s="1"/>
  <c r="S53" i="5"/>
  <c r="U47" i="5" s="1"/>
  <c r="U60" i="5" s="1"/>
  <c r="R53" i="5"/>
  <c r="T47" i="5" s="1"/>
  <c r="S39" i="5"/>
  <c r="M11" i="5"/>
  <c r="L5" i="4"/>
  <c r="O29" i="4"/>
  <c r="L21" i="4"/>
  <c r="L37" i="4"/>
  <c r="L37" i="3"/>
  <c r="M5" i="3"/>
  <c r="O5" i="3" s="1"/>
  <c r="M13" i="3"/>
  <c r="M21" i="3"/>
  <c r="L21" i="3"/>
  <c r="O29" i="3" l="1"/>
  <c r="O21" i="3"/>
  <c r="O13" i="3"/>
  <c r="O44" i="3" s="1"/>
  <c r="N21" i="4"/>
  <c r="N29" i="4"/>
  <c r="N13" i="4"/>
  <c r="N5" i="4"/>
  <c r="N29" i="3"/>
  <c r="N21" i="3"/>
  <c r="N13" i="3"/>
  <c r="N5" i="3"/>
  <c r="P37" i="3" l="1"/>
  <c r="P5" i="3" s="1"/>
  <c r="P13" i="4"/>
  <c r="P37" i="4"/>
  <c r="P21" i="4" s="1"/>
  <c r="P29" i="4" l="1"/>
  <c r="P13" i="3"/>
  <c r="P21" i="3"/>
  <c r="P29" i="3"/>
  <c r="U13" i="3"/>
  <c r="U12" i="3"/>
  <c r="U11" i="3"/>
  <c r="U10" i="3"/>
  <c r="U9" i="3"/>
  <c r="U8" i="3"/>
  <c r="U7" i="3"/>
  <c r="U6" i="3"/>
  <c r="U5" i="3"/>
  <c r="AA12" i="3"/>
  <c r="AA11" i="3"/>
  <c r="AA10" i="3"/>
  <c r="AA9" i="3"/>
  <c r="AA8" i="3"/>
  <c r="AA7" i="3"/>
  <c r="AA6" i="3"/>
  <c r="AA5" i="3"/>
  <c r="AG12" i="3"/>
  <c r="AG11" i="3"/>
  <c r="AG10" i="3"/>
  <c r="AG9" i="3"/>
  <c r="AG8" i="3"/>
  <c r="AG7" i="3"/>
  <c r="AG6" i="3"/>
  <c r="AG5" i="3"/>
  <c r="AM12" i="3"/>
  <c r="AM11" i="3"/>
  <c r="AM10" i="3"/>
  <c r="AM9" i="3"/>
  <c r="AM8" i="3"/>
  <c r="AM7" i="3"/>
  <c r="AM6" i="3"/>
  <c r="AM5" i="3"/>
  <c r="AS12" i="3"/>
  <c r="AS11" i="3"/>
  <c r="AS10" i="3"/>
  <c r="AS9" i="3"/>
  <c r="AS8" i="3"/>
  <c r="AS7" i="3"/>
  <c r="AS6" i="3"/>
  <c r="AS5" i="3"/>
  <c r="AQ12" i="3"/>
  <c r="AQ11" i="3"/>
  <c r="AQ10" i="3"/>
  <c r="AQ9" i="3"/>
  <c r="AQ8" i="3"/>
  <c r="AQ7" i="3"/>
  <c r="AQ6" i="3"/>
  <c r="AQ5" i="3"/>
  <c r="AK12" i="3"/>
  <c r="AK11" i="3"/>
  <c r="AK10" i="3"/>
  <c r="AK9" i="3"/>
  <c r="AK8" i="3"/>
  <c r="AK7" i="3"/>
  <c r="AK6" i="3"/>
  <c r="AK5" i="3"/>
  <c r="AE12" i="3"/>
  <c r="AE11" i="3"/>
  <c r="AE10" i="3"/>
  <c r="AE9" i="3"/>
  <c r="AE8" i="3"/>
  <c r="AE7" i="3"/>
  <c r="AE6" i="3"/>
  <c r="AE5" i="3"/>
  <c r="Y12" i="3"/>
  <c r="Y11" i="3"/>
  <c r="Y10" i="3"/>
  <c r="Y9" i="3"/>
  <c r="Y8" i="3"/>
  <c r="Y7" i="3"/>
  <c r="Y6" i="3"/>
  <c r="Y5" i="3"/>
  <c r="S13" i="3"/>
  <c r="S12" i="3"/>
  <c r="S11" i="3"/>
  <c r="S10" i="3"/>
  <c r="S9" i="3"/>
  <c r="S8" i="3"/>
  <c r="S7" i="3"/>
  <c r="S6" i="3"/>
  <c r="S5" i="3"/>
  <c r="AS37" i="5"/>
  <c r="AS36" i="5"/>
  <c r="AS35" i="5"/>
  <c r="AS34" i="5"/>
  <c r="AS33" i="5"/>
  <c r="AS32" i="5"/>
  <c r="AS31" i="5"/>
  <c r="AS30" i="5"/>
  <c r="AS29" i="5"/>
  <c r="AS28" i="5"/>
  <c r="AS27" i="5"/>
  <c r="AS26" i="5"/>
  <c r="AS25" i="5"/>
  <c r="AS24" i="5"/>
  <c r="AS23" i="5"/>
  <c r="AS22" i="5"/>
  <c r="AS21" i="5"/>
  <c r="AS20" i="5"/>
  <c r="AS19" i="5"/>
  <c r="AS18" i="5"/>
  <c r="AS17" i="5"/>
  <c r="AS16" i="5"/>
  <c r="AS15" i="5"/>
  <c r="AS14" i="5"/>
  <c r="AS13" i="5"/>
  <c r="AS12" i="5"/>
  <c r="AS11" i="5"/>
  <c r="AS10" i="5"/>
  <c r="AS9" i="5"/>
  <c r="AS8" i="5"/>
  <c r="AS7" i="5"/>
  <c r="AS6" i="5"/>
  <c r="AS5" i="5"/>
  <c r="AS4" i="5"/>
  <c r="AM38" i="5"/>
  <c r="AM37" i="5"/>
  <c r="AM36" i="5"/>
  <c r="AM35" i="5"/>
  <c r="AM34" i="5"/>
  <c r="AM33" i="5"/>
  <c r="AM32" i="5"/>
  <c r="AM31" i="5"/>
  <c r="AM30" i="5"/>
  <c r="AM29" i="5"/>
  <c r="AM28" i="5"/>
  <c r="AM27" i="5"/>
  <c r="AM26" i="5"/>
  <c r="AM25" i="5"/>
  <c r="AM24" i="5"/>
  <c r="AM23" i="5"/>
  <c r="AM22" i="5"/>
  <c r="AM21" i="5"/>
  <c r="AM20" i="5"/>
  <c r="AM19" i="5"/>
  <c r="AM18" i="5"/>
  <c r="AM17" i="5"/>
  <c r="AM16" i="5"/>
  <c r="AM15" i="5"/>
  <c r="AM14" i="5"/>
  <c r="AM13" i="5"/>
  <c r="AM12" i="5"/>
  <c r="AM11" i="5"/>
  <c r="AM10" i="5"/>
  <c r="AM9" i="5"/>
  <c r="AM8" i="5"/>
  <c r="AM7" i="5"/>
  <c r="AM6" i="5"/>
  <c r="AM5" i="5"/>
  <c r="AM4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21" i="5"/>
  <c r="AG20" i="5"/>
  <c r="AG19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G6" i="5"/>
  <c r="AG5" i="5"/>
  <c r="AG4" i="5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Q37" i="5"/>
  <c r="AQ36" i="5"/>
  <c r="AQ35" i="5"/>
  <c r="AQ34" i="5"/>
  <c r="AQ33" i="5"/>
  <c r="AQ32" i="5"/>
  <c r="AQ31" i="5"/>
  <c r="AQ30" i="5"/>
  <c r="AQ29" i="5"/>
  <c r="AQ28" i="5"/>
  <c r="AQ27" i="5"/>
  <c r="AQ26" i="5"/>
  <c r="AQ25" i="5"/>
  <c r="AQ24" i="5"/>
  <c r="AQ23" i="5"/>
  <c r="AQ22" i="5"/>
  <c r="AQ21" i="5"/>
  <c r="AQ20" i="5"/>
  <c r="AQ19" i="5"/>
  <c r="AQ18" i="5"/>
  <c r="AQ17" i="5"/>
  <c r="AQ16" i="5"/>
  <c r="AQ15" i="5"/>
  <c r="AQ14" i="5"/>
  <c r="AQ13" i="5"/>
  <c r="AQ12" i="5"/>
  <c r="AQ11" i="5"/>
  <c r="AQ10" i="5"/>
  <c r="AQ9" i="5"/>
  <c r="AQ8" i="5"/>
  <c r="AQ7" i="5"/>
  <c r="AQ6" i="5"/>
  <c r="AQ5" i="5"/>
  <c r="AQ4" i="5"/>
  <c r="AK38" i="5"/>
  <c r="AK37" i="5"/>
  <c r="AK36" i="5"/>
  <c r="AK35" i="5"/>
  <c r="AK34" i="5"/>
  <c r="AK33" i="5"/>
  <c r="AK32" i="5"/>
  <c r="AK31" i="5"/>
  <c r="AK30" i="5"/>
  <c r="AK29" i="5"/>
  <c r="AK28" i="5"/>
  <c r="AK27" i="5"/>
  <c r="AK26" i="5"/>
  <c r="AK25" i="5"/>
  <c r="AK24" i="5"/>
  <c r="AK23" i="5"/>
  <c r="AK22" i="5"/>
  <c r="AK21" i="5"/>
  <c r="AK20" i="5"/>
  <c r="AK19" i="5"/>
  <c r="AK18" i="5"/>
  <c r="AK17" i="5"/>
  <c r="AK16" i="5"/>
  <c r="AK15" i="5"/>
  <c r="AK14" i="5"/>
  <c r="AK13" i="5"/>
  <c r="AK12" i="5"/>
  <c r="AK11" i="5"/>
  <c r="AK10" i="5"/>
  <c r="AK9" i="5"/>
  <c r="AK8" i="5"/>
  <c r="AK7" i="5"/>
  <c r="AK6" i="5"/>
  <c r="AK5" i="5"/>
  <c r="AK4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5" i="5"/>
  <c r="AE4" i="5"/>
  <c r="Y40" i="5"/>
  <c r="Y39" i="5"/>
  <c r="Y38" i="5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8" i="5"/>
  <c r="Y7" i="5"/>
  <c r="Y6" i="5"/>
  <c r="Y5" i="5"/>
  <c r="Y4" i="5"/>
  <c r="AT14" i="4"/>
  <c r="AT13" i="4"/>
  <c r="AT12" i="4"/>
  <c r="AT11" i="4"/>
  <c r="AT10" i="4"/>
  <c r="AT9" i="4"/>
  <c r="AT8" i="4"/>
  <c r="AT7" i="4"/>
  <c r="AT6" i="4"/>
  <c r="AT5" i="4"/>
  <c r="AT4" i="4"/>
  <c r="AN14" i="4"/>
  <c r="AN13" i="4"/>
  <c r="AN12" i="4"/>
  <c r="AN11" i="4"/>
  <c r="AN10" i="4"/>
  <c r="AN9" i="4"/>
  <c r="AN8" i="4"/>
  <c r="AN7" i="4"/>
  <c r="AN6" i="4"/>
  <c r="AN5" i="4"/>
  <c r="AN4" i="4"/>
  <c r="AH14" i="4"/>
  <c r="AH13" i="4"/>
  <c r="AH12" i="4"/>
  <c r="AH11" i="4"/>
  <c r="AH10" i="4"/>
  <c r="AH9" i="4"/>
  <c r="AH8" i="4"/>
  <c r="AH7" i="4"/>
  <c r="AH6" i="4"/>
  <c r="AH5" i="4"/>
  <c r="AH4" i="4"/>
  <c r="AH20" i="4" s="1"/>
  <c r="AR14" i="4"/>
  <c r="AR13" i="4"/>
  <c r="AR12" i="4"/>
  <c r="AR11" i="4"/>
  <c r="AR10" i="4"/>
  <c r="AR9" i="4"/>
  <c r="AR8" i="4"/>
  <c r="AR7" i="4"/>
  <c r="AR6" i="4"/>
  <c r="AR5" i="4"/>
  <c r="AR4" i="4"/>
  <c r="AL14" i="4"/>
  <c r="AL13" i="4"/>
  <c r="AL12" i="4"/>
  <c r="AL11" i="4"/>
  <c r="AL10" i="4"/>
  <c r="AL9" i="4"/>
  <c r="AL8" i="4"/>
  <c r="AL7" i="4"/>
  <c r="AL6" i="4"/>
  <c r="AL5" i="4"/>
  <c r="AL4" i="4"/>
  <c r="AF14" i="4"/>
  <c r="AF13" i="4"/>
  <c r="AF12" i="4"/>
  <c r="AF11" i="4"/>
  <c r="AF10" i="4"/>
  <c r="AF9" i="4"/>
  <c r="AF8" i="4"/>
  <c r="AF7" i="4"/>
  <c r="AF6" i="4"/>
  <c r="AF5" i="4"/>
  <c r="AF4" i="4"/>
  <c r="Z14" i="4"/>
  <c r="Z13" i="4"/>
  <c r="Z12" i="4"/>
  <c r="Z11" i="4"/>
  <c r="Z10" i="4"/>
  <c r="Z9" i="4"/>
  <c r="Z8" i="4"/>
  <c r="Z7" i="4"/>
  <c r="Z6" i="4"/>
  <c r="Z5" i="4"/>
  <c r="Z4" i="4"/>
  <c r="Z20" i="4" s="1"/>
  <c r="AB14" i="4"/>
  <c r="AB13" i="4"/>
  <c r="AB12" i="4"/>
  <c r="AB11" i="4"/>
  <c r="AB10" i="4"/>
  <c r="AB9" i="4"/>
  <c r="AB8" i="4"/>
  <c r="AB7" i="4"/>
  <c r="AB6" i="4"/>
  <c r="AB5" i="4"/>
  <c r="AB4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S18" i="3" l="1"/>
  <c r="Y16" i="3"/>
  <c r="Y18" i="3"/>
  <c r="AE16" i="3"/>
  <c r="AE18" i="3"/>
  <c r="AK16" i="3"/>
  <c r="AK18" i="3"/>
  <c r="AQ16" i="3"/>
  <c r="AQ18" i="3"/>
  <c r="AS16" i="3"/>
  <c r="AS18" i="3"/>
  <c r="AM16" i="3"/>
  <c r="AM18" i="3"/>
  <c r="AG16" i="3"/>
  <c r="AG18" i="3"/>
  <c r="AA16" i="3"/>
  <c r="AA18" i="3"/>
  <c r="U16" i="3"/>
  <c r="U18" i="3"/>
  <c r="AB20" i="4"/>
  <c r="AR20" i="4"/>
  <c r="V20" i="4"/>
  <c r="AL20" i="4"/>
  <c r="AT20" i="4"/>
  <c r="T20" i="4"/>
  <c r="AF20" i="4"/>
  <c r="AN20" i="4"/>
  <c r="S16" i="3"/>
  <c r="AQ42" i="5"/>
  <c r="AS42" i="5"/>
  <c r="AM42" i="5"/>
  <c r="Y42" i="5"/>
  <c r="AA42" i="5"/>
  <c r="AK42" i="5"/>
  <c r="AE42" i="5"/>
  <c r="AG42" i="5"/>
  <c r="AO5" i="5"/>
  <c r="AO6" i="5" s="1"/>
  <c r="AO7" i="5" s="1"/>
  <c r="AO8" i="5" s="1"/>
  <c r="AO9" i="5" s="1"/>
  <c r="AO10" i="5" s="1"/>
  <c r="AO11" i="5" s="1"/>
  <c r="AO12" i="5" s="1"/>
  <c r="AO13" i="5" s="1"/>
  <c r="AO14" i="5" s="1"/>
  <c r="AO15" i="5" s="1"/>
  <c r="AO16" i="5" s="1"/>
  <c r="AO17" i="5" s="1"/>
  <c r="AO18" i="5" s="1"/>
  <c r="AO19" i="5" s="1"/>
  <c r="AO20" i="5" s="1"/>
  <c r="AO21" i="5" s="1"/>
  <c r="AO22" i="5" s="1"/>
  <c r="AO23" i="5" s="1"/>
  <c r="AO24" i="5" s="1"/>
  <c r="AO25" i="5" s="1"/>
  <c r="AO26" i="5" s="1"/>
  <c r="AO27" i="5" s="1"/>
  <c r="AO28" i="5" s="1"/>
  <c r="AO29" i="5" s="1"/>
  <c r="AO30" i="5" s="1"/>
  <c r="AO31" i="5" s="1"/>
  <c r="AO32" i="5" s="1"/>
  <c r="AO33" i="5" s="1"/>
  <c r="AO34" i="5" s="1"/>
  <c r="AO35" i="5" s="1"/>
  <c r="AO36" i="5" s="1"/>
  <c r="AO37" i="5" s="1"/>
  <c r="AO38" i="5" s="1"/>
  <c r="AO39" i="5" s="1"/>
  <c r="AO40" i="5" s="1"/>
  <c r="AI5" i="5"/>
  <c r="AI6" i="5" s="1"/>
  <c r="AI7" i="5" s="1"/>
  <c r="AI8" i="5" s="1"/>
  <c r="AI9" i="5" s="1"/>
  <c r="AI10" i="5" s="1"/>
  <c r="AI11" i="5" s="1"/>
  <c r="AI12" i="5" s="1"/>
  <c r="AI13" i="5" s="1"/>
  <c r="AI14" i="5" s="1"/>
  <c r="AI15" i="5" s="1"/>
  <c r="AI16" i="5" s="1"/>
  <c r="AI17" i="5" s="1"/>
  <c r="AI18" i="5" s="1"/>
  <c r="AI19" i="5" s="1"/>
  <c r="AI20" i="5" s="1"/>
  <c r="AI21" i="5" s="1"/>
  <c r="AI22" i="5" s="1"/>
  <c r="AI23" i="5" s="1"/>
  <c r="AI24" i="5" s="1"/>
  <c r="AI25" i="5" s="1"/>
  <c r="AI26" i="5" s="1"/>
  <c r="AI27" i="5" s="1"/>
  <c r="AI28" i="5" s="1"/>
  <c r="AI29" i="5" s="1"/>
  <c r="AI30" i="5" s="1"/>
  <c r="AI31" i="5" s="1"/>
  <c r="AI32" i="5" s="1"/>
  <c r="AI33" i="5" s="1"/>
  <c r="AI34" i="5" s="1"/>
  <c r="AI35" i="5" s="1"/>
  <c r="AI36" i="5" s="1"/>
  <c r="AI37" i="5" s="1"/>
  <c r="AI38" i="5" s="1"/>
  <c r="AI39" i="5" s="1"/>
  <c r="AI40" i="5" s="1"/>
  <c r="AC5" i="5"/>
  <c r="AC6" i="5" s="1"/>
  <c r="AC7" i="5" s="1"/>
  <c r="AC8" i="5" s="1"/>
  <c r="AC9" i="5" s="1"/>
  <c r="AC10" i="5" s="1"/>
  <c r="AC11" i="5" s="1"/>
  <c r="AC12" i="5" s="1"/>
  <c r="AC13" i="5" s="1"/>
  <c r="AC14" i="5" s="1"/>
  <c r="AC15" i="5" s="1"/>
  <c r="AC16" i="5" s="1"/>
  <c r="AC17" i="5" s="1"/>
  <c r="AC18" i="5" s="1"/>
  <c r="AC19" i="5" s="1"/>
  <c r="AC20" i="5" s="1"/>
  <c r="AC21" i="5" s="1"/>
  <c r="AC22" i="5" s="1"/>
  <c r="AC23" i="5" s="1"/>
  <c r="AC24" i="5" s="1"/>
  <c r="AC25" i="5" s="1"/>
  <c r="AC26" i="5" s="1"/>
  <c r="AC27" i="5" s="1"/>
  <c r="AC28" i="5" s="1"/>
  <c r="AC29" i="5" s="1"/>
  <c r="AC30" i="5" s="1"/>
  <c r="AC31" i="5" s="1"/>
  <c r="AC32" i="5" s="1"/>
  <c r="AC33" i="5" s="1"/>
  <c r="AC34" i="5" s="1"/>
  <c r="AC35" i="5" s="1"/>
  <c r="AC36" i="5" s="1"/>
  <c r="AC37" i="5" s="1"/>
  <c r="AC38" i="5" s="1"/>
  <c r="AC39" i="5" s="1"/>
  <c r="AC40" i="5" s="1"/>
  <c r="W5" i="5"/>
  <c r="W6" i="5" s="1"/>
  <c r="W7" i="5" s="1"/>
  <c r="W8" i="5" s="1"/>
  <c r="W9" i="5" s="1"/>
  <c r="W10" i="5" s="1"/>
  <c r="W11" i="5" s="1"/>
  <c r="W12" i="5" s="1"/>
  <c r="W13" i="5" s="1"/>
  <c r="W14" i="5" s="1"/>
  <c r="W15" i="5" s="1"/>
  <c r="W16" i="5" s="1"/>
  <c r="W17" i="5" s="1"/>
  <c r="W18" i="5" s="1"/>
  <c r="W19" i="5" s="1"/>
  <c r="W20" i="5" s="1"/>
  <c r="W21" i="5" s="1"/>
  <c r="W22" i="5" s="1"/>
  <c r="W23" i="5" s="1"/>
  <c r="W24" i="5" s="1"/>
  <c r="W25" i="5" s="1"/>
  <c r="W26" i="5" s="1"/>
  <c r="W27" i="5" s="1"/>
  <c r="W28" i="5" s="1"/>
  <c r="W29" i="5" s="1"/>
  <c r="W30" i="5" s="1"/>
  <c r="W31" i="5" s="1"/>
  <c r="W32" i="5" s="1"/>
  <c r="W33" i="5" s="1"/>
  <c r="W34" i="5" s="1"/>
  <c r="W35" i="5" s="1"/>
  <c r="W36" i="5" s="1"/>
  <c r="W37" i="5" s="1"/>
  <c r="W38" i="5" s="1"/>
  <c r="W39" i="5" s="1"/>
  <c r="W40" i="5" s="1"/>
  <c r="AS20" i="3" l="1"/>
  <c r="AT25" i="4"/>
  <c r="AS47" i="5"/>
  <c r="AO6" i="3"/>
  <c r="AO7" i="3" s="1"/>
  <c r="AO8" i="3" s="1"/>
  <c r="AO9" i="3" s="1"/>
  <c r="AO10" i="3" s="1"/>
  <c r="AO11" i="3" s="1"/>
  <c r="AO12" i="3" s="1"/>
  <c r="AO13" i="3" s="1"/>
  <c r="AO14" i="3" s="1"/>
  <c r="AO15" i="3" s="1"/>
  <c r="AO16" i="3" s="1"/>
  <c r="AO17" i="3" s="1"/>
  <c r="AO18" i="3" s="1"/>
  <c r="AO19" i="3" s="1"/>
  <c r="AI6" i="3"/>
  <c r="AI7" i="3" s="1"/>
  <c r="AI8" i="3" s="1"/>
  <c r="AI9" i="3" s="1"/>
  <c r="AI10" i="3" s="1"/>
  <c r="AI11" i="3" s="1"/>
  <c r="AI12" i="3" s="1"/>
  <c r="AI13" i="3" s="1"/>
  <c r="AI14" i="3" s="1"/>
  <c r="AI15" i="3" s="1"/>
  <c r="AI16" i="3" s="1"/>
  <c r="AI17" i="3" s="1"/>
  <c r="AI18" i="3" s="1"/>
  <c r="AI19" i="3" s="1"/>
  <c r="AC6" i="3"/>
  <c r="AC7" i="3" s="1"/>
  <c r="AC8" i="3" s="1"/>
  <c r="AC9" i="3" s="1"/>
  <c r="AC10" i="3" s="1"/>
  <c r="AC11" i="3" s="1"/>
  <c r="AC12" i="3" s="1"/>
  <c r="AC13" i="3" s="1"/>
  <c r="AC14" i="3" s="1"/>
  <c r="AC15" i="3" s="1"/>
  <c r="AC16" i="3" s="1"/>
  <c r="AC17" i="3" s="1"/>
  <c r="AC18" i="3" s="1"/>
  <c r="AC19" i="3" s="1"/>
  <c r="W6" i="3"/>
  <c r="W7" i="3" s="1"/>
  <c r="W8" i="3" s="1"/>
  <c r="W9" i="3" s="1"/>
  <c r="W10" i="3" s="1"/>
  <c r="W11" i="3" s="1"/>
  <c r="W12" i="3" s="1"/>
  <c r="W13" i="3" s="1"/>
  <c r="W14" i="3" s="1"/>
  <c r="W15" i="3" s="1"/>
  <c r="W16" i="3" s="1"/>
  <c r="W17" i="3" s="1"/>
  <c r="W18" i="3" s="1"/>
  <c r="W19" i="3" s="1"/>
  <c r="Q6" i="3"/>
  <c r="Q7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AP5" i="4" l="1"/>
  <c r="AP6" i="4" s="1"/>
  <c r="AP7" i="4" s="1"/>
  <c r="AP8" i="4" s="1"/>
  <c r="AP9" i="4" s="1"/>
  <c r="AP10" i="4" s="1"/>
  <c r="AP11" i="4" s="1"/>
  <c r="AP12" i="4" s="1"/>
  <c r="AP13" i="4" s="1"/>
  <c r="AP14" i="4" s="1"/>
  <c r="AP15" i="4" s="1"/>
  <c r="AP16" i="4" s="1"/>
  <c r="AP17" i="4" s="1"/>
  <c r="AP18" i="4" s="1"/>
  <c r="AJ5" i="4"/>
  <c r="AJ6" i="4" s="1"/>
  <c r="AJ7" i="4" s="1"/>
  <c r="AJ8" i="4" s="1"/>
  <c r="AJ9" i="4" s="1"/>
  <c r="AJ10" i="4" s="1"/>
  <c r="AJ11" i="4" s="1"/>
  <c r="AJ12" i="4" s="1"/>
  <c r="AJ13" i="4" s="1"/>
  <c r="AJ14" i="4" s="1"/>
  <c r="AJ15" i="4" s="1"/>
  <c r="AJ16" i="4" s="1"/>
  <c r="AJ17" i="4" s="1"/>
  <c r="AJ18" i="4" s="1"/>
  <c r="AD5" i="4"/>
  <c r="AD6" i="4" s="1"/>
  <c r="AD7" i="4" s="1"/>
  <c r="AD8" i="4" s="1"/>
  <c r="AD9" i="4" s="1"/>
  <c r="AD10" i="4" s="1"/>
  <c r="AD11" i="4" s="1"/>
  <c r="AD12" i="4" s="1"/>
  <c r="AD13" i="4" s="1"/>
  <c r="AD14" i="4" s="1"/>
  <c r="AD15" i="4" s="1"/>
  <c r="AD16" i="4" s="1"/>
  <c r="AD17" i="4" s="1"/>
  <c r="AD18" i="4" s="1"/>
  <c r="X5" i="4"/>
  <c r="X6" i="4" s="1"/>
  <c r="X7" i="4" s="1"/>
  <c r="X8" i="4" s="1"/>
  <c r="X9" i="4" s="1"/>
  <c r="X10" i="4" s="1"/>
  <c r="X11" i="4" s="1"/>
  <c r="X12" i="4" s="1"/>
  <c r="X13" i="4" s="1"/>
  <c r="X14" i="4" s="1"/>
  <c r="X15" i="4" s="1"/>
  <c r="X16" i="4" s="1"/>
  <c r="X17" i="4" s="1"/>
  <c r="X18" i="4" s="1"/>
  <c r="R5" i="4"/>
  <c r="R6" i="4" s="1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F6" i="9" l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8" i="9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F80" i="9" s="1"/>
  <c r="F81" i="9" s="1"/>
  <c r="F83" i="9" s="1"/>
  <c r="F84" i="9" s="1"/>
  <c r="F85" i="9" s="1"/>
  <c r="F86" i="9" s="1"/>
  <c r="F87" i="9" s="1"/>
  <c r="F88" i="9" s="1"/>
  <c r="F89" i="9" s="1"/>
  <c r="F90" i="9" s="1"/>
  <c r="F91" i="9" s="1"/>
  <c r="F92" i="9" s="1"/>
  <c r="F93" i="9" s="1"/>
  <c r="F94" i="9" s="1"/>
  <c r="F95" i="9" s="1"/>
  <c r="F96" i="9" s="1"/>
  <c r="F97" i="9" s="1"/>
  <c r="F98" i="9" s="1"/>
  <c r="F99" i="9" s="1"/>
  <c r="F100" i="9" s="1"/>
  <c r="F101" i="9" s="1"/>
  <c r="F102" i="9" s="1"/>
  <c r="F103" i="9" s="1"/>
  <c r="F104" i="9" s="1"/>
  <c r="F105" i="9" s="1"/>
  <c r="F106" i="9" s="1"/>
  <c r="N3" i="9" l="1"/>
  <c r="H25" i="8" l="1"/>
  <c r="H26" i="8" s="1"/>
  <c r="H27" i="8" s="1"/>
  <c r="H28" i="8" s="1"/>
  <c r="H24" i="8"/>
  <c r="H18" i="8"/>
  <c r="H19" i="8" s="1"/>
  <c r="H20" i="8" s="1"/>
  <c r="H21" i="8" s="1"/>
  <c r="H22" i="8" s="1"/>
  <c r="H12" i="8"/>
  <c r="H13" i="8" s="1"/>
  <c r="H14" i="8" s="1"/>
  <c r="H15" i="8" s="1"/>
  <c r="H16" i="8" s="1"/>
  <c r="H6" i="8"/>
  <c r="H7" i="8" s="1"/>
  <c r="H8" i="8" s="1"/>
  <c r="H9" i="8" s="1"/>
  <c r="H10" i="8" s="1"/>
  <c r="H31" i="7"/>
  <c r="H32" i="7" s="1"/>
  <c r="H33" i="7" s="1"/>
  <c r="H34" i="7" s="1"/>
  <c r="H35" i="7" s="1"/>
  <c r="H36" i="7" s="1"/>
  <c r="H30" i="7"/>
  <c r="H22" i="7"/>
  <c r="H23" i="7" s="1"/>
  <c r="H24" i="7" s="1"/>
  <c r="H25" i="7" s="1"/>
  <c r="H26" i="7" s="1"/>
  <c r="H27" i="7" s="1"/>
  <c r="H28" i="7" s="1"/>
  <c r="H7" i="7"/>
  <c r="H8" i="7" s="1"/>
  <c r="H9" i="7" s="1"/>
  <c r="H10" i="7" s="1"/>
  <c r="H11" i="7" s="1"/>
  <c r="H12" i="7" s="1"/>
  <c r="H6" i="7"/>
  <c r="H30" i="6"/>
  <c r="H31" i="6" s="1"/>
  <c r="H32" i="6" s="1"/>
  <c r="H33" i="6" s="1"/>
  <c r="H34" i="6" s="1"/>
  <c r="H22" i="6"/>
  <c r="H23" i="6" s="1"/>
  <c r="H24" i="6" s="1"/>
  <c r="H25" i="6" s="1"/>
  <c r="H26" i="6" s="1"/>
  <c r="H6" i="6"/>
  <c r="H7" i="6" s="1"/>
  <c r="H8" i="6" s="1"/>
  <c r="H9" i="6" s="1"/>
  <c r="H10" i="6" s="1"/>
</calcChain>
</file>

<file path=xl/comments1.xml><?xml version="1.0" encoding="utf-8"?>
<comments xmlns="http://schemas.openxmlformats.org/spreadsheetml/2006/main">
  <authors>
    <author>Peter Sanciolo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aftyer start of injection of MS2.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aftyer start of injection of MS2.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aftyer start of injection of MS2.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aftyer start of injection of MS2.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aftyer start of injection of MS2.</t>
        </r>
      </text>
    </comment>
  </commentList>
</comments>
</file>

<file path=xl/comments2.xml><?xml version="1.0" encoding="utf-8"?>
<comments xmlns="http://schemas.openxmlformats.org/spreadsheetml/2006/main">
  <authors>
    <author>Peter Sanciolo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aftyer start of injection of MS2.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aftyer start of injection of MS2.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aftyer start of injection of MS2.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aftyer start of injection of MS2.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aftyer start of injection of MS2.</t>
        </r>
      </text>
    </comment>
  </commentList>
</comments>
</file>

<file path=xl/comments3.xml><?xml version="1.0" encoding="utf-8"?>
<comments xmlns="http://schemas.openxmlformats.org/spreadsheetml/2006/main">
  <authors>
    <author>Peter Sanciolo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after start of injection of MS2.</t>
        </r>
      </text>
    </comment>
  </commentList>
</comments>
</file>

<file path=xl/comments4.xml><?xml version="1.0" encoding="utf-8"?>
<comments xmlns="http://schemas.openxmlformats.org/spreadsheetml/2006/main">
  <authors>
    <author>Peter Sanciolo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after start of injection of MS2.</t>
        </r>
      </text>
    </comment>
  </commentList>
</comments>
</file>

<file path=xl/comments5.xml><?xml version="1.0" encoding="utf-8"?>
<comments xmlns="http://schemas.openxmlformats.org/spreadsheetml/2006/main">
  <authors>
    <author>Peter Sanciolo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Peter Sanciolo:</t>
        </r>
        <r>
          <rPr>
            <sz val="9"/>
            <color indexed="81"/>
            <rFont val="Tahoma"/>
            <family val="2"/>
          </rPr>
          <t xml:space="preserve">
Start of timing after 3 x HRT has passed after start of injection of MS2.</t>
        </r>
      </text>
    </comment>
  </commentList>
</comments>
</file>

<file path=xl/sharedStrings.xml><?xml version="1.0" encoding="utf-8"?>
<sst xmlns="http://schemas.openxmlformats.org/spreadsheetml/2006/main" count="790" uniqueCount="326">
  <si>
    <t>Date</t>
  </si>
  <si>
    <t>On-line</t>
  </si>
  <si>
    <t>Flow (L/min)</t>
  </si>
  <si>
    <t>Challenge test date</t>
  </si>
  <si>
    <t>Temperratures tested</t>
  </si>
  <si>
    <t>Flow tested</t>
  </si>
  <si>
    <t>Alkalinity</t>
  </si>
  <si>
    <t>pH</t>
  </si>
  <si>
    <t>Turbidity</t>
  </si>
  <si>
    <t>TOC</t>
  </si>
  <si>
    <t>COD</t>
  </si>
  <si>
    <t>EC</t>
  </si>
  <si>
    <t>UVT</t>
  </si>
  <si>
    <t>SS</t>
  </si>
  <si>
    <t>VSS</t>
  </si>
  <si>
    <t>Ca</t>
  </si>
  <si>
    <t>75, 72,69, 66</t>
  </si>
  <si>
    <t>66, 63, 60, 57</t>
  </si>
  <si>
    <t>Sample Date</t>
  </si>
  <si>
    <t>Sample No.</t>
  </si>
  <si>
    <t>Challenge Test No</t>
  </si>
  <si>
    <t>Temperature (Deg.C)</t>
  </si>
  <si>
    <t>Flow Rate (L/min)</t>
  </si>
  <si>
    <t>Sample Port</t>
  </si>
  <si>
    <t>Sample time (second)</t>
  </si>
  <si>
    <t>1-75-1065-5-1</t>
  </si>
  <si>
    <t>1-75-1065-5-2</t>
  </si>
  <si>
    <t>1-75-1065-5-3</t>
  </si>
  <si>
    <t>1-75-1065-5-4</t>
  </si>
  <si>
    <t>1-75-1065-5-5</t>
  </si>
  <si>
    <t>1-75-1065-5-6</t>
  </si>
  <si>
    <t>2-72-1065-5-1</t>
  </si>
  <si>
    <t>2-72-1065-5-2</t>
  </si>
  <si>
    <t>2-72-1065-5-3</t>
  </si>
  <si>
    <t>2-72-1065-5-4</t>
  </si>
  <si>
    <t>2-72-1065-5-5</t>
  </si>
  <si>
    <t>2-72-1065-5-6</t>
  </si>
  <si>
    <t>3-69-1065-5-1</t>
  </si>
  <si>
    <t>3-69-1065-5-2</t>
  </si>
  <si>
    <t>3-69-1065-5-3</t>
  </si>
  <si>
    <t>3-69-1065-5-4</t>
  </si>
  <si>
    <t>3-69-1065-5-5</t>
  </si>
  <si>
    <t>3-69-1065-5-6</t>
  </si>
  <si>
    <t>4-66-1065-5-1</t>
  </si>
  <si>
    <t>4-66-1065-5-2</t>
  </si>
  <si>
    <t>4-66-1065-5-3</t>
  </si>
  <si>
    <t>4-66-1065-5-4</t>
  </si>
  <si>
    <t>4-66-1065-5-5</t>
  </si>
  <si>
    <t>4-66-1065-5-6</t>
  </si>
  <si>
    <t>5-amb-1065-5-1</t>
  </si>
  <si>
    <t>ambient</t>
  </si>
  <si>
    <t>5-amb-1065-5-2</t>
  </si>
  <si>
    <t>5-amb-1065-5-3</t>
  </si>
  <si>
    <t>Triplicate assay</t>
  </si>
  <si>
    <t>5-amb-1065-5-4</t>
  </si>
  <si>
    <t>5-amb-1065-5-5</t>
  </si>
  <si>
    <t>5-amb-1065-5-6</t>
  </si>
  <si>
    <t>MS2  count (pfu/mL)</t>
  </si>
  <si>
    <t>Low flow MS2 challenge tests</t>
  </si>
  <si>
    <t>6-75-355-5-1</t>
  </si>
  <si>
    <t>6-75-355-5-2</t>
  </si>
  <si>
    <t>6-75-355-5-3</t>
  </si>
  <si>
    <t>6-75-355-5-4</t>
  </si>
  <si>
    <t>6-75-355-5-5</t>
  </si>
  <si>
    <t>6-75-355-5-6</t>
  </si>
  <si>
    <t>7-72-355-5-1</t>
  </si>
  <si>
    <t>7-72-355-5-2</t>
  </si>
  <si>
    <t>7-72-355-5-3</t>
  </si>
  <si>
    <t>7-72-355-5-4</t>
  </si>
  <si>
    <t>7-72-355-5-5</t>
  </si>
  <si>
    <t>7-72-355-5-6</t>
  </si>
  <si>
    <t>8-69-355-5-1</t>
  </si>
  <si>
    <t>8-69-355-5-2</t>
  </si>
  <si>
    <t>8-69-355-5-3</t>
  </si>
  <si>
    <t>8-69-355-5-4</t>
  </si>
  <si>
    <t>8-69-355-5-5</t>
  </si>
  <si>
    <t>8-69-355-5-6</t>
  </si>
  <si>
    <t>9-66-355-5-1</t>
  </si>
  <si>
    <t>9-66-355-5-2</t>
  </si>
  <si>
    <t>9-66-355-5-3</t>
  </si>
  <si>
    <t>9-66-355-5-4</t>
  </si>
  <si>
    <t>9-66-355-5-5</t>
  </si>
  <si>
    <t>9-66-355-5-6</t>
  </si>
  <si>
    <t>10-amb-355-5-1</t>
  </si>
  <si>
    <t>10-amb-355-5-2</t>
  </si>
  <si>
    <t>10-amb-355-5-3</t>
  </si>
  <si>
    <t>10-amb-355-5-4</t>
  </si>
  <si>
    <t>10-amb-355-5-5</t>
  </si>
  <si>
    <t>10-amb-355-5-6</t>
  </si>
  <si>
    <t>MS2 Count (pfu/mL)</t>
  </si>
  <si>
    <t>Challenge Test descriptor</t>
  </si>
  <si>
    <t>High Flow</t>
  </si>
  <si>
    <t>Low Flow</t>
  </si>
  <si>
    <t>MS2+E,coli</t>
  </si>
  <si>
    <t>High Flow, Repeat 1</t>
  </si>
  <si>
    <t>High Flow, Repeat 2</t>
  </si>
  <si>
    <t>High Flow, Repeat 3</t>
  </si>
  <si>
    <t>Low temp. MS2 Challenge test with assay of native E.Coli</t>
  </si>
  <si>
    <t>11-57-1065-1-1</t>
  </si>
  <si>
    <t>11-57-1065-1-2</t>
  </si>
  <si>
    <t>11-57-1065-1-3</t>
  </si>
  <si>
    <t>11-57-1065-1-4</t>
  </si>
  <si>
    <t>11-57-1065-1-5</t>
  </si>
  <si>
    <t>11-57-1065-1-6</t>
  </si>
  <si>
    <t>11-57-1065-6-1</t>
  </si>
  <si>
    <t>11-57-1065-6-2</t>
  </si>
  <si>
    <t>11-57-1065-6-3</t>
  </si>
  <si>
    <t>11-57-1065-6-4</t>
  </si>
  <si>
    <t>11-57-1065-6-5</t>
  </si>
  <si>
    <t>11-57-1065-6-6</t>
  </si>
  <si>
    <t>12-60-1065-1-1</t>
  </si>
  <si>
    <t>12-60-1065-1-2</t>
  </si>
  <si>
    <t>12-60-1065-1-3</t>
  </si>
  <si>
    <t>12-60-1065-1-4</t>
  </si>
  <si>
    <t>12-60-1065-1-5</t>
  </si>
  <si>
    <t>12-60-1065-1-6</t>
  </si>
  <si>
    <t>12-60-1065-6-1</t>
  </si>
  <si>
    <t>12-60-1065-6-2</t>
  </si>
  <si>
    <t>12-60-1065-6-3</t>
  </si>
  <si>
    <t>12-60-1065-6-4</t>
  </si>
  <si>
    <t>12-60-1065-6-5</t>
  </si>
  <si>
    <t>12-60-1065-6-6</t>
  </si>
  <si>
    <t>13-63-1065-1-1</t>
  </si>
  <si>
    <t>13-63-1065-1-2</t>
  </si>
  <si>
    <t>13-63-1065-1-3</t>
  </si>
  <si>
    <t>13-63-1065-1-4</t>
  </si>
  <si>
    <t>13-63-1065-1-5</t>
  </si>
  <si>
    <t>13-63-1065-1-6</t>
  </si>
  <si>
    <t>13-63-1065-6-1</t>
  </si>
  <si>
    <t>13-63-1065-6-2</t>
  </si>
  <si>
    <t>E.coli Count (orgs/mL)</t>
  </si>
  <si>
    <t>15-75-1065-5-1</t>
  </si>
  <si>
    <t>15-75-1065-5-2</t>
  </si>
  <si>
    <t>15-75-1065-5-3</t>
  </si>
  <si>
    <t>15-75-1065-5-4</t>
  </si>
  <si>
    <t>15-75-1065-5-5</t>
  </si>
  <si>
    <t>15-75-1065-5-6</t>
  </si>
  <si>
    <t>15-75-1065-5-7</t>
  </si>
  <si>
    <t>15-75-1065-5-8</t>
  </si>
  <si>
    <t>16-69-1065-5-7</t>
  </si>
  <si>
    <t>16-69-1065-5-8</t>
  </si>
  <si>
    <t>18-amb-1065-5-1</t>
  </si>
  <si>
    <t>18-amb-1065-5-2</t>
  </si>
  <si>
    <t>18-amb-1065-5-3</t>
  </si>
  <si>
    <t xml:space="preserve">Triplicate assay </t>
  </si>
  <si>
    <t>18-amb-1065-5-4</t>
  </si>
  <si>
    <t>18-amb-1065-5-5</t>
  </si>
  <si>
    <t>18-amb-1065-5-6</t>
  </si>
  <si>
    <t>18-amb-1065-5-7</t>
  </si>
  <si>
    <t>18-amb-1065-5-8</t>
  </si>
  <si>
    <t>19-75-1065-5-1</t>
  </si>
  <si>
    <t>19-75-1065-5-2</t>
  </si>
  <si>
    <t>19-75-1065-5-3</t>
  </si>
  <si>
    <t>19-75-1065-5-4</t>
  </si>
  <si>
    <t>19-75-1065-5-5</t>
  </si>
  <si>
    <t>19-75-1065-5-6</t>
  </si>
  <si>
    <t>19-75-1065-5-7</t>
  </si>
  <si>
    <t>19-75-1065-5-8</t>
  </si>
  <si>
    <t>22-amb-1065-5-1</t>
  </si>
  <si>
    <t>22-amb-1065-5-2</t>
  </si>
  <si>
    <t>22-amb-1065-5-3</t>
  </si>
  <si>
    <t>22-amb-1065-5-4</t>
  </si>
  <si>
    <t>22-amb-1065-5-5</t>
  </si>
  <si>
    <t>22-amb-1065-5-6</t>
  </si>
  <si>
    <t>22-amb-1065-5-7</t>
  </si>
  <si>
    <t>22-amb-1065-5-8</t>
  </si>
  <si>
    <t>23-75-1065-5-1</t>
  </si>
  <si>
    <t>23-75-1065-5-2</t>
  </si>
  <si>
    <t>23-75-1065-5-3</t>
  </si>
  <si>
    <t>23-75-1065-5-4</t>
  </si>
  <si>
    <t>23-75-1065-5-5</t>
  </si>
  <si>
    <t>23-75-1065-5-6</t>
  </si>
  <si>
    <t>26-amb-1065-5-1</t>
  </si>
  <si>
    <t>26-amb-1065-5-2</t>
  </si>
  <si>
    <t>26-amb-1065-5-3</t>
  </si>
  <si>
    <t>26-amb-1065-5-4</t>
  </si>
  <si>
    <t>26-amb-1065-5-5</t>
  </si>
  <si>
    <t>26-amb-1065-5-6</t>
  </si>
  <si>
    <t>Water Quality on Challenge Test Days</t>
  </si>
  <si>
    <t>Ambient</t>
  </si>
  <si>
    <t>Temperature</t>
  </si>
  <si>
    <t>Ports</t>
  </si>
  <si>
    <t>Time after start of rhodamine addition (seconds)</t>
  </si>
  <si>
    <t>1060 L/min Retention time between sampling ports 4 and 5 (seconds) =</t>
  </si>
  <si>
    <t>355 L/min Retention time between sampling ports 4 and 5 (seconds) =</t>
  </si>
  <si>
    <t>1060 L/min Retention time between sampling ports 1 and 6 (seconds) =</t>
  </si>
  <si>
    <t>Tracer Studies</t>
  </si>
  <si>
    <t>Ventura data:</t>
  </si>
  <si>
    <t>Fluorescence Reading</t>
  </si>
  <si>
    <t xml:space="preserve"> </t>
  </si>
  <si>
    <t>285 GPM</t>
  </si>
  <si>
    <t>4 and 5</t>
  </si>
  <si>
    <t>1 and 6</t>
  </si>
  <si>
    <t>284 GPM</t>
  </si>
  <si>
    <t>140 GPM</t>
  </si>
  <si>
    <t>Test Conditions</t>
  </si>
  <si>
    <t xml:space="preserve">Time (sec) </t>
  </si>
  <si>
    <t>Flow (GPM)</t>
  </si>
  <si>
    <r>
      <t>Temperaure (F) (</t>
    </r>
    <r>
      <rPr>
        <b/>
        <sz val="11"/>
        <color rgb="FFFF0000"/>
        <rFont val="Calibri"/>
        <family val="2"/>
        <scheme val="minor"/>
      </rPr>
      <t>=75C</t>
    </r>
    <r>
      <rPr>
        <sz val="11"/>
        <color theme="1"/>
        <rFont val="Calibri"/>
        <family val="2"/>
        <scheme val="minor"/>
      </rPr>
      <t>)</t>
    </r>
  </si>
  <si>
    <r>
      <t>Temperaure (F) (</t>
    </r>
    <r>
      <rPr>
        <b/>
        <sz val="11"/>
        <color rgb="FFFF0000"/>
        <rFont val="Calibri"/>
        <family val="2"/>
        <scheme val="minor"/>
      </rPr>
      <t>=72C</t>
    </r>
    <r>
      <rPr>
        <sz val="11"/>
        <color theme="1"/>
        <rFont val="Calibri"/>
        <family val="2"/>
        <scheme val="minor"/>
      </rPr>
      <t>)</t>
    </r>
  </si>
  <si>
    <r>
      <t>Temperaure (F) (</t>
    </r>
    <r>
      <rPr>
        <b/>
        <sz val="11"/>
        <color rgb="FFFF0000"/>
        <rFont val="Calibri"/>
        <family val="2"/>
        <scheme val="minor"/>
      </rPr>
      <t>=69C</t>
    </r>
    <r>
      <rPr>
        <sz val="11"/>
        <color theme="1"/>
        <rFont val="Calibri"/>
        <family val="2"/>
        <scheme val="minor"/>
      </rPr>
      <t>)</t>
    </r>
  </si>
  <si>
    <r>
      <t>Temperaure (F) (</t>
    </r>
    <r>
      <rPr>
        <b/>
        <sz val="11"/>
        <color rgb="FFFF0000"/>
        <rFont val="Calibri"/>
        <family val="2"/>
        <scheme val="minor"/>
      </rPr>
      <t>=66C</t>
    </r>
    <r>
      <rPr>
        <sz val="11"/>
        <color theme="1"/>
        <rFont val="Calibri"/>
        <family val="2"/>
        <scheme val="minor"/>
      </rPr>
      <t>)</t>
    </r>
  </si>
  <si>
    <r>
      <t>Temperaure (F) (</t>
    </r>
    <r>
      <rPr>
        <sz val="11"/>
        <color rgb="FFFF0000"/>
        <rFont val="Calibri"/>
        <family val="2"/>
        <scheme val="minor"/>
      </rPr>
      <t>ambient</t>
    </r>
    <r>
      <rPr>
        <sz val="11"/>
        <color theme="1"/>
        <rFont val="Calibri"/>
        <family val="2"/>
        <scheme val="minor"/>
      </rPr>
      <t>)</t>
    </r>
  </si>
  <si>
    <t>not recorded</t>
  </si>
  <si>
    <t>nor recorded</t>
  </si>
  <si>
    <t>Feed pump setting (Hz)</t>
  </si>
  <si>
    <t>Effluent Pump position (%)</t>
  </si>
  <si>
    <r>
      <t>Temperaure (F) (</t>
    </r>
    <r>
      <rPr>
        <b/>
        <sz val="11"/>
        <color rgb="FFFF0000"/>
        <rFont val="Calibri"/>
        <family val="2"/>
        <scheme val="minor"/>
      </rPr>
      <t>=68C</t>
    </r>
    <r>
      <rPr>
        <sz val="11"/>
        <color theme="1"/>
        <rFont val="Calibri"/>
        <family val="2"/>
        <scheme val="minor"/>
      </rPr>
      <t>)</t>
    </r>
  </si>
  <si>
    <r>
      <t>Temperaure (F) (</t>
    </r>
    <r>
      <rPr>
        <b/>
        <sz val="11"/>
        <color rgb="FFFF0000"/>
        <rFont val="Calibri"/>
        <family val="2"/>
        <scheme val="minor"/>
      </rPr>
      <t>=64C</t>
    </r>
    <r>
      <rPr>
        <sz val="11"/>
        <color theme="1"/>
        <rFont val="Calibri"/>
        <family val="2"/>
        <scheme val="minor"/>
      </rPr>
      <t>)</t>
    </r>
  </si>
  <si>
    <r>
      <t>Temperaure (F) (</t>
    </r>
    <r>
      <rPr>
        <b/>
        <sz val="11"/>
        <color rgb="FFFF0000"/>
        <rFont val="Calibri"/>
        <family val="2"/>
        <scheme val="minor"/>
      </rPr>
      <t>=60C</t>
    </r>
    <r>
      <rPr>
        <sz val="11"/>
        <color theme="1"/>
        <rFont val="Calibri"/>
        <family val="2"/>
        <scheme val="minor"/>
      </rPr>
      <t>)</t>
    </r>
  </si>
  <si>
    <r>
      <t>Temperaure (F) (</t>
    </r>
    <r>
      <rPr>
        <b/>
        <sz val="11"/>
        <color rgb="FFFF0000"/>
        <rFont val="Calibri"/>
        <family val="2"/>
        <scheme val="minor"/>
      </rPr>
      <t>=57C</t>
    </r>
    <r>
      <rPr>
        <sz val="11"/>
        <color theme="1"/>
        <rFont val="Calibri"/>
        <family val="2"/>
        <scheme val="minor"/>
      </rPr>
      <t>)</t>
    </r>
  </si>
  <si>
    <t>F to C</t>
  </si>
  <si>
    <t>(F-32) x 0.556</t>
  </si>
  <si>
    <t>C to F</t>
  </si>
  <si>
    <t>(C x 1,8) + 32</t>
  </si>
  <si>
    <t>Temperature (C)</t>
  </si>
  <si>
    <t>GPM to L/min</t>
  </si>
  <si>
    <t>GPM x 3.785</t>
  </si>
  <si>
    <t>LRV</t>
  </si>
  <si>
    <t>LV</t>
  </si>
  <si>
    <t>Average</t>
  </si>
  <si>
    <t>Overall Average Flow</t>
  </si>
  <si>
    <t>13-63-1065-6-3</t>
  </si>
  <si>
    <t>13-63-1065-6-4</t>
  </si>
  <si>
    <t>13-63-1065-6-5</t>
  </si>
  <si>
    <t>13-63-1065-6-6</t>
  </si>
  <si>
    <t>14-66-1065-1-1</t>
  </si>
  <si>
    <t>14-66-1065-1-2</t>
  </si>
  <si>
    <t>14-66-1065-1-3</t>
  </si>
  <si>
    <t>14-66-1065-1-4</t>
  </si>
  <si>
    <t>14-66-1065-1-5</t>
  </si>
  <si>
    <t>14-66-1065-1-6</t>
  </si>
  <si>
    <t>14-66-1065-6-1</t>
  </si>
  <si>
    <t>14-66-1065-6-2</t>
  </si>
  <si>
    <t>14-66-1065-6-3</t>
  </si>
  <si>
    <t>14-66-1065-6-4</t>
  </si>
  <si>
    <t>14-66-1065-6-5</t>
  </si>
  <si>
    <t>14-66-1065-6-6</t>
  </si>
  <si>
    <t>MS2 counts</t>
  </si>
  <si>
    <t>SD</t>
  </si>
  <si>
    <t>log (count)</t>
  </si>
  <si>
    <t>Average (Log (count))</t>
  </si>
  <si>
    <t>SD (log(count))</t>
  </si>
  <si>
    <t>SD (LRV)</t>
  </si>
  <si>
    <t>Paul's</t>
  </si>
  <si>
    <t>Calculation</t>
  </si>
  <si>
    <t>Average SD</t>
  </si>
  <si>
    <t>Sample time  after 14.5 minutes(second)</t>
  </si>
  <si>
    <t>(mg/L)</t>
  </si>
  <si>
    <t>(uS/cm)</t>
  </si>
  <si>
    <t>75, 72, 69</t>
  </si>
  <si>
    <t>16-72-1065-5-1</t>
  </si>
  <si>
    <t>16-72-1065-5-2</t>
  </si>
  <si>
    <t>16-72-1065-5-3</t>
  </si>
  <si>
    <t>16-72-1065-5-4</t>
  </si>
  <si>
    <t>16-72-1065-5-5</t>
  </si>
  <si>
    <t>16-72-1065-5-6</t>
  </si>
  <si>
    <t>17-69-1065-5-1</t>
  </si>
  <si>
    <t>17-69-1065-5-2</t>
  </si>
  <si>
    <t>17-69-1065-5-3</t>
  </si>
  <si>
    <t>17-69-1065-5-4</t>
  </si>
  <si>
    <t>17-69-1065-5-5</t>
  </si>
  <si>
    <t>17-69-1065-5-6</t>
  </si>
  <si>
    <t>17-69-1065-5-7</t>
  </si>
  <si>
    <t>17-69-1065-5-8</t>
  </si>
  <si>
    <t>20-72-1065-5-1</t>
  </si>
  <si>
    <t>20-72-1065-5-2</t>
  </si>
  <si>
    <t>20-72-1065-5-3</t>
  </si>
  <si>
    <t>20-72-1065-5-4</t>
  </si>
  <si>
    <t>20-72-1065-5-5</t>
  </si>
  <si>
    <t>20-72-1065-5-6</t>
  </si>
  <si>
    <t>20-72-1065-5-7</t>
  </si>
  <si>
    <t>20-72-1065-5-8</t>
  </si>
  <si>
    <t>21-69-1065-5-1</t>
  </si>
  <si>
    <t>21-69-1065-5-2</t>
  </si>
  <si>
    <t>21-69-1065-5-3</t>
  </si>
  <si>
    <t>21-69-1065-5-4</t>
  </si>
  <si>
    <t>21-69-1065-5-5</t>
  </si>
  <si>
    <t>21-69-1065-5-6</t>
  </si>
  <si>
    <t>21-69-1065-5-7</t>
  </si>
  <si>
    <t>21-69-1065-5-8</t>
  </si>
  <si>
    <t>24-72-1065-5-1</t>
  </si>
  <si>
    <t>24-72-1065-5-2</t>
  </si>
  <si>
    <t>24-72-1065-5-3</t>
  </si>
  <si>
    <t>24-72-1065-5-4</t>
  </si>
  <si>
    <t>24-72-1065-5-5</t>
  </si>
  <si>
    <t>24-72-1065-5-6</t>
  </si>
  <si>
    <t>25-69-1065-5-1</t>
  </si>
  <si>
    <t>25-69-1065-5-2</t>
  </si>
  <si>
    <t>25-69-1065-5-3</t>
  </si>
  <si>
    <t>25-69-1065-5-4</t>
  </si>
  <si>
    <t>25-69-1065-5-5</t>
  </si>
  <si>
    <t>25-69-1065-5-6</t>
  </si>
  <si>
    <t>27-05-15 results</t>
  </si>
  <si>
    <t>Pooled Data</t>
  </si>
  <si>
    <t xml:space="preserve">Average(log(count)) </t>
  </si>
  <si>
    <t>75C</t>
  </si>
  <si>
    <t>72C</t>
  </si>
  <si>
    <t>69C</t>
  </si>
  <si>
    <t>Bottom 5th percentile LV</t>
  </si>
  <si>
    <t>Top 5th percentile LV</t>
  </si>
  <si>
    <t>Bottom 5th percentile LRV</t>
  </si>
  <si>
    <t>Average LRV</t>
  </si>
  <si>
    <t>Average LV</t>
  </si>
  <si>
    <t>Test Date</t>
  </si>
  <si>
    <t>Temp.</t>
  </si>
  <si>
    <t>(°C)</t>
  </si>
  <si>
    <t>Challenge Test Results</t>
  </si>
  <si>
    <t>High Flow Challenge Test 4</t>
  </si>
  <si>
    <t>High Flow Challenge Test 3</t>
  </si>
  <si>
    <t>High Flow Challenge Test 2</t>
  </si>
  <si>
    <t>High Flow Challenge Test 1</t>
  </si>
  <si>
    <t>Index of spreadsheets</t>
  </si>
  <si>
    <t>Tracer studies</t>
  </si>
  <si>
    <t>Water Quality at challenge test</t>
  </si>
  <si>
    <t>Microbial Challenge Low Flow</t>
  </si>
  <si>
    <t>Microbial Challenge MS2+E.coli</t>
  </si>
  <si>
    <t>Microbial Challenge HF(1)</t>
  </si>
  <si>
    <t>Microbial Challenge HF(2)</t>
  </si>
  <si>
    <t>Microbial Challenge HF(3)</t>
  </si>
  <si>
    <t>Microbial Challenge HF(4)</t>
  </si>
  <si>
    <t>Calc. Ventura Val.</t>
  </si>
  <si>
    <t>Calc. Low before+high after</t>
  </si>
  <si>
    <t>Seconds</t>
  </si>
  <si>
    <t>Temp ( C )</t>
  </si>
  <si>
    <t xml:space="preserve">Temp (C)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</si>
</sst>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0000000"/>
    <numFmt numFmtId="166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Arial"/>
      <family val="2"/>
    </font>
    <font>
      <sz val="11"/>
      <color theme="7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name val="Arial"/>
      <family val="2"/>
    </font>
    <font>
      <sz val="11"/>
      <color rgb="FF1F497D"/>
      <name val="Calibri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95">
    <xf numFmtId="0" fontId="0" fillId="0" borderId="0" xfId="0"/>
    <xf numFmtId="0" fontId="1" fillId="0" borderId="0" xfId="0" applyFont="1" applyAlignment="1">
      <alignment horizontal="left" vertical="center" indent="5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4" borderId="7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4" borderId="11" xfId="0" applyNumberForma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0" xfId="0" applyFont="1"/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4" borderId="13" xfId="0" applyFill="1" applyBorder="1"/>
    <xf numFmtId="0" fontId="0" fillId="4" borderId="10" xfId="0" applyFill="1" applyBorder="1"/>
    <xf numFmtId="0" fontId="0" fillId="4" borderId="9" xfId="0" applyFill="1" applyBorder="1"/>
    <xf numFmtId="0" fontId="7" fillId="0" borderId="0" xfId="0" applyFont="1" applyAlignment="1">
      <alignment horizontal="left"/>
    </xf>
    <xf numFmtId="0" fontId="3" fillId="0" borderId="0" xfId="0" applyFont="1"/>
    <xf numFmtId="0" fontId="0" fillId="6" borderId="2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2" xfId="0" applyFill="1" applyBorder="1"/>
    <xf numFmtId="0" fontId="0" fillId="6" borderId="15" xfId="0" applyFill="1" applyBorder="1"/>
    <xf numFmtId="0" fontId="0" fillId="6" borderId="8" xfId="0" applyFill="1" applyBorder="1"/>
    <xf numFmtId="0" fontId="0" fillId="6" borderId="13" xfId="0" applyFill="1" applyBorder="1"/>
    <xf numFmtId="0" fontId="0" fillId="6" borderId="10" xfId="0" applyFill="1" applyBorder="1"/>
    <xf numFmtId="0" fontId="0" fillId="6" borderId="9" xfId="0" applyFill="1" applyBorder="1"/>
    <xf numFmtId="0" fontId="0" fillId="4" borderId="11" xfId="0" applyFill="1" applyBorder="1"/>
    <xf numFmtId="0" fontId="0" fillId="4" borderId="0" xfId="0" applyFill="1" applyBorder="1"/>
    <xf numFmtId="0" fontId="0" fillId="4" borderId="7" xfId="0" applyFill="1" applyBorder="1"/>
    <xf numFmtId="0" fontId="0" fillId="3" borderId="2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4" fontId="0" fillId="3" borderId="11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4" fontId="0" fillId="3" borderId="11" xfId="0" applyNumberFormat="1" applyFill="1" applyBorder="1" applyAlignment="1">
      <alignment horizontal="center" vertical="center"/>
    </xf>
    <xf numFmtId="14" fontId="0" fillId="3" borderId="13" xfId="0" applyNumberFormat="1" applyFill="1" applyBorder="1" applyAlignment="1">
      <alignment horizontal="center" vertical="center"/>
    </xf>
    <xf numFmtId="0" fontId="0" fillId="3" borderId="0" xfId="0" applyFill="1"/>
    <xf numFmtId="0" fontId="9" fillId="0" borderId="0" xfId="0" applyFont="1"/>
    <xf numFmtId="0" fontId="10" fillId="6" borderId="2" xfId="0" applyFont="1" applyFill="1" applyBorder="1"/>
    <xf numFmtId="0" fontId="11" fillId="6" borderId="11" xfId="0" applyFont="1" applyFill="1" applyBorder="1" applyAlignment="1">
      <alignment vertical="center"/>
    </xf>
    <xf numFmtId="0" fontId="0" fillId="6" borderId="0" xfId="0" applyFill="1" applyBorder="1"/>
    <xf numFmtId="1" fontId="0" fillId="6" borderId="7" xfId="0" applyNumberForma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NumberFormat="1"/>
    <xf numFmtId="0" fontId="3" fillId="0" borderId="0" xfId="0" applyFont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5" borderId="12" xfId="0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13" xfId="0" applyFont="1" applyBorder="1"/>
    <xf numFmtId="0" fontId="2" fillId="0" borderId="14" xfId="0" applyFont="1" applyBorder="1"/>
    <xf numFmtId="164" fontId="0" fillId="6" borderId="12" xfId="0" applyNumberFormat="1" applyFill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164" fontId="0" fillId="6" borderId="7" xfId="0" applyNumberForma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4" fontId="0" fillId="6" borderId="8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2" borderId="12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164" fontId="2" fillId="3" borderId="8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2" fontId="2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0" fillId="3" borderId="8" xfId="0" applyNumberFormat="1" applyFill="1" applyBorder="1" applyAlignment="1">
      <alignment horizontal="center" wrapText="1"/>
    </xf>
    <xf numFmtId="2" fontId="0" fillId="3" borderId="7" xfId="0" applyNumberFormat="1" applyFill="1" applyBorder="1" applyAlignment="1">
      <alignment horizontal="center" wrapText="1"/>
    </xf>
    <xf numFmtId="2" fontId="0" fillId="3" borderId="9" xfId="0" applyNumberFormat="1" applyFill="1" applyBorder="1" applyAlignment="1">
      <alignment horizontal="center" wrapText="1"/>
    </xf>
    <xf numFmtId="2" fontId="2" fillId="3" borderId="8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164" fontId="8" fillId="3" borderId="8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9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4" fontId="2" fillId="3" borderId="8" xfId="0" applyNumberFormat="1" applyFont="1" applyFill="1" applyBorder="1" applyAlignment="1">
      <alignment horizontal="center" wrapText="1"/>
    </xf>
    <xf numFmtId="164" fontId="2" fillId="3" borderId="7" xfId="0" applyNumberFormat="1" applyFont="1" applyFill="1" applyBorder="1" applyAlignment="1">
      <alignment horizontal="center" wrapText="1"/>
    </xf>
    <xf numFmtId="164" fontId="2" fillId="3" borderId="9" xfId="0" applyNumberFormat="1" applyFont="1" applyFill="1" applyBorder="1" applyAlignment="1">
      <alignment horizontal="center" wrapText="1"/>
    </xf>
    <xf numFmtId="0" fontId="0" fillId="8" borderId="8" xfId="0" applyFill="1" applyBorder="1"/>
    <xf numFmtId="0" fontId="0" fillId="8" borderId="3" xfId="0" applyFill="1" applyBorder="1"/>
    <xf numFmtId="0" fontId="0" fillId="8" borderId="7" xfId="0" applyFill="1" applyBorder="1"/>
    <xf numFmtId="0" fontId="0" fillId="8" borderId="12" xfId="0" applyFill="1" applyBorder="1"/>
    <xf numFmtId="0" fontId="0" fillId="8" borderId="9" xfId="0" applyFill="1" applyBorder="1"/>
    <xf numFmtId="0" fontId="0" fillId="8" borderId="14" xfId="0" applyFill="1" applyBorder="1"/>
    <xf numFmtId="0" fontId="14" fillId="0" borderId="0" xfId="0" applyFont="1"/>
    <xf numFmtId="164" fontId="2" fillId="3" borderId="9" xfId="0" applyNumberFormat="1" applyFon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0" borderId="0" xfId="0" applyFont="1"/>
    <xf numFmtId="0" fontId="15" fillId="3" borderId="1" xfId="0" applyFont="1" applyFill="1" applyBorder="1" applyAlignment="1">
      <alignment horizontal="center"/>
    </xf>
    <xf numFmtId="2" fontId="15" fillId="3" borderId="7" xfId="0" applyNumberFormat="1" applyFont="1" applyFill="1" applyBorder="1" applyAlignment="1">
      <alignment horizontal="center"/>
    </xf>
    <xf numFmtId="164" fontId="15" fillId="3" borderId="7" xfId="0" applyNumberFormat="1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2" fontId="15" fillId="3" borderId="9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2" fillId="3" borderId="15" xfId="0" applyNumberFormat="1" applyFon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13" xfId="0" applyFont="1" applyBorder="1"/>
    <xf numFmtId="164" fontId="9" fillId="0" borderId="13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4" fontId="0" fillId="0" borderId="0" xfId="0" applyNumberFormat="1"/>
    <xf numFmtId="164" fontId="0" fillId="3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164" fontId="0" fillId="3" borderId="2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6" fontId="2" fillId="3" borderId="8" xfId="0" applyNumberFormat="1" applyFont="1" applyFill="1" applyBorder="1" applyAlignment="1">
      <alignment horizontal="center"/>
    </xf>
    <xf numFmtId="166" fontId="2" fillId="3" borderId="7" xfId="0" applyNumberFormat="1" applyFont="1" applyFill="1" applyBorder="1" applyAlignment="1">
      <alignment horizontal="center"/>
    </xf>
    <xf numFmtId="166" fontId="2" fillId="3" borderId="9" xfId="0" applyNumberFormat="1" applyFont="1" applyFill="1" applyBorder="1" applyAlignment="1">
      <alignment horizontal="center"/>
    </xf>
    <xf numFmtId="166" fontId="0" fillId="0" borderId="0" xfId="0" applyNumberFormat="1"/>
    <xf numFmtId="166" fontId="0" fillId="3" borderId="1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7" xfId="0" applyNumberFormat="1" applyFon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0" borderId="0" xfId="0" applyFont="1"/>
    <xf numFmtId="0" fontId="18" fillId="8" borderId="8" xfId="0" applyFont="1" applyFill="1" applyBorder="1" applyAlignment="1">
      <alignment horizontal="center" vertical="center"/>
    </xf>
    <xf numFmtId="0" fontId="18" fillId="8" borderId="8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 wrapText="1"/>
    </xf>
    <xf numFmtId="2" fontId="18" fillId="8" borderId="7" xfId="0" applyNumberFormat="1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2" fontId="18" fillId="8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0" fillId="10" borderId="13" xfId="0" applyFont="1" applyFill="1" applyBorder="1" applyAlignment="1">
      <alignment vertical="center"/>
    </xf>
    <xf numFmtId="14" fontId="18" fillId="10" borderId="12" xfId="0" applyNumberFormat="1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14" fontId="0" fillId="6" borderId="8" xfId="0" applyNumberForma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9" fillId="0" borderId="0" xfId="1"/>
    <xf numFmtId="0" fontId="19" fillId="0" borderId="0" xfId="1" quotePrefix="1"/>
    <xf numFmtId="0" fontId="20" fillId="0" borderId="0" xfId="0" applyFont="1"/>
    <xf numFmtId="0" fontId="18" fillId="10" borderId="2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8" fillId="10" borderId="10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14" fontId="18" fillId="10" borderId="6" xfId="0" applyNumberFormat="1" applyFont="1" applyFill="1" applyBorder="1" applyAlignment="1">
      <alignment horizontal="center" vertical="center"/>
    </xf>
    <xf numFmtId="14" fontId="18" fillId="10" borderId="6" xfId="0" applyNumberFormat="1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0" xfId="0" applyFont="1" applyFill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404131</xdr:colOff>
      <xdr:row>86</xdr:row>
      <xdr:rowOff>151040</xdr:rowOff>
    </xdr:from>
    <xdr:to>
      <xdr:col>29</xdr:col>
      <xdr:colOff>133349</xdr:colOff>
      <xdr:row>104</xdr:row>
      <xdr:rowOff>65315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9417" y="17268826"/>
          <a:ext cx="11907611" cy="334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876300</xdr:colOff>
      <xdr:row>87</xdr:row>
      <xdr:rowOff>0</xdr:rowOff>
    </xdr:from>
    <xdr:to>
      <xdr:col>10</xdr:col>
      <xdr:colOff>676275</xdr:colOff>
      <xdr:row>102</xdr:row>
      <xdr:rowOff>145590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2669500"/>
          <a:ext cx="11391900" cy="3003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5" x14ac:dyDescent="0.25"/>
  <cols>
    <col min="1" max="1" width="29" bestFit="1" customWidth="1"/>
  </cols>
  <sheetData>
    <row r="1" spans="1:1" ht="18.75" x14ac:dyDescent="0.3">
      <c r="A1" s="273" t="s">
        <v>312</v>
      </c>
    </row>
    <row r="2" spans="1:1" x14ac:dyDescent="0.25">
      <c r="A2" s="271" t="s">
        <v>313</v>
      </c>
    </row>
    <row r="3" spans="1:1" x14ac:dyDescent="0.25">
      <c r="A3" s="271" t="s">
        <v>314</v>
      </c>
    </row>
    <row r="4" spans="1:1" x14ac:dyDescent="0.25">
      <c r="A4" s="271" t="s">
        <v>315</v>
      </c>
    </row>
    <row r="5" spans="1:1" x14ac:dyDescent="0.25">
      <c r="A5" s="271" t="s">
        <v>316</v>
      </c>
    </row>
    <row r="6" spans="1:1" x14ac:dyDescent="0.25">
      <c r="A6" s="272" t="s">
        <v>317</v>
      </c>
    </row>
    <row r="7" spans="1:1" x14ac:dyDescent="0.25">
      <c r="A7" s="271" t="s">
        <v>318</v>
      </c>
    </row>
    <row r="8" spans="1:1" x14ac:dyDescent="0.25">
      <c r="A8" s="271" t="s">
        <v>319</v>
      </c>
    </row>
    <row r="9" spans="1:1" x14ac:dyDescent="0.25">
      <c r="A9" s="271" t="s">
        <v>320</v>
      </c>
    </row>
    <row r="10" spans="1:1" x14ac:dyDescent="0.25">
      <c r="A10" s="271" t="s">
        <v>321</v>
      </c>
    </row>
    <row r="11" spans="1:1" x14ac:dyDescent="0.25">
      <c r="A11" s="271" t="s">
        <v>322</v>
      </c>
    </row>
  </sheetData>
  <hyperlinks>
    <hyperlink ref="A2" location="'Tracer studies'!A1" display="Tracer studies"/>
    <hyperlink ref="A3" location="'Water Quality at challenge test'!A1" display="Water Quality at challenge test"/>
    <hyperlink ref="A4" location="'Microbial Challenge Low Flow'!A1" display="Microbial Challenge Low Flow"/>
    <hyperlink ref="A5" location="'Microbial Challenge MS2+E.coli'!A1" display="Microbial Challenge MS2+E.coli"/>
    <hyperlink ref="A6" location="'Microbial Challenge HF(1)'!A1" display="'Microbial Challenge HF(1)"/>
    <hyperlink ref="A7" location="'Microbial Challenge HF(2)'!A1" display="Microbial Challenge HF(2)"/>
    <hyperlink ref="A8" location="'Microbial Challenge HF(3)'!A1" display="Microbial Challenge HF(3)"/>
    <hyperlink ref="A9" location="'Microbial Challenge HF(4)'!A1" display="Microbial Challenge HF(4)"/>
    <hyperlink ref="A10" location="'Calc. Ventura Val.'!A1" display="Calc. Ventura Val."/>
    <hyperlink ref="A11" location="'Calc. Low before+high after'!A1" display="Calc. Low before+high after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90" zoomScaleNormal="90" workbookViewId="0"/>
  </sheetViews>
  <sheetFormatPr defaultRowHeight="15" x14ac:dyDescent="0.25"/>
  <cols>
    <col min="2" max="2" width="11.7109375" style="4" bestFit="1" customWidth="1"/>
    <col min="3" max="3" width="19.140625" bestFit="1" customWidth="1"/>
    <col min="4" max="4" width="12" customWidth="1"/>
    <col min="5" max="5" width="20.28515625" bestFit="1" customWidth="1"/>
    <col min="7" max="7" width="19.140625" bestFit="1" customWidth="1"/>
    <col min="8" max="8" width="10.5703125" bestFit="1" customWidth="1"/>
    <col min="9" max="9" width="20.28515625" bestFit="1" customWidth="1"/>
    <col min="11" max="11" width="19.140625" bestFit="1" customWidth="1"/>
    <col min="12" max="12" width="10.5703125" bestFit="1" customWidth="1"/>
    <col min="13" max="13" width="20.28515625" bestFit="1" customWidth="1"/>
    <col min="15" max="15" width="19.140625" customWidth="1"/>
    <col min="16" max="16" width="12.28515625" customWidth="1"/>
    <col min="17" max="17" width="19.42578125" customWidth="1"/>
    <col min="18" max="18" width="11.42578125" customWidth="1"/>
    <col min="19" max="19" width="21.5703125" style="4" customWidth="1"/>
    <col min="20" max="20" width="12.5703125" style="4" customWidth="1"/>
    <col min="21" max="22" width="9.140625" style="4"/>
    <col min="23" max="23" width="10.7109375" customWidth="1"/>
    <col min="25" max="25" width="10.7109375" bestFit="1" customWidth="1"/>
  </cols>
  <sheetData>
    <row r="1" spans="2:22" ht="15.75" thickBot="1" x14ac:dyDescent="0.3"/>
    <row r="2" spans="2:22" ht="15.75" thickBot="1" x14ac:dyDescent="0.3">
      <c r="B2" s="4" t="s">
        <v>294</v>
      </c>
      <c r="S2" s="86"/>
      <c r="T2" s="220" t="s">
        <v>180</v>
      </c>
      <c r="U2" s="220"/>
      <c r="V2" s="92"/>
    </row>
    <row r="3" spans="2:22" ht="15.75" thickBot="1" x14ac:dyDescent="0.3">
      <c r="B3" s="225">
        <v>42118</v>
      </c>
      <c r="G3" s="226">
        <v>42151</v>
      </c>
      <c r="K3" s="225">
        <v>42157</v>
      </c>
      <c r="O3" s="225">
        <v>42178</v>
      </c>
      <c r="S3" s="87" t="s">
        <v>304</v>
      </c>
      <c r="T3" s="106">
        <v>75</v>
      </c>
      <c r="U3" s="106">
        <v>72</v>
      </c>
      <c r="V3" s="93">
        <v>69</v>
      </c>
    </row>
    <row r="4" spans="2:22" ht="15.75" thickBot="1" x14ac:dyDescent="0.3">
      <c r="B4" s="103" t="s">
        <v>324</v>
      </c>
      <c r="C4" s="7" t="s">
        <v>57</v>
      </c>
      <c r="D4" s="7" t="s">
        <v>240</v>
      </c>
      <c r="E4" s="7" t="s">
        <v>218</v>
      </c>
      <c r="G4" s="7" t="s">
        <v>57</v>
      </c>
      <c r="H4" s="7" t="s">
        <v>240</v>
      </c>
      <c r="I4" s="7" t="s">
        <v>218</v>
      </c>
      <c r="K4" s="7" t="s">
        <v>57</v>
      </c>
      <c r="L4" s="7" t="s">
        <v>240</v>
      </c>
      <c r="M4" s="7" t="s">
        <v>218</v>
      </c>
      <c r="O4" s="7" t="s">
        <v>57</v>
      </c>
      <c r="P4" s="7" t="s">
        <v>240</v>
      </c>
      <c r="Q4" s="7" t="s">
        <v>218</v>
      </c>
      <c r="S4" s="225">
        <v>42118</v>
      </c>
      <c r="T4" s="221">
        <v>4.5437509541833414</v>
      </c>
      <c r="U4" s="185">
        <v>2.1232451176125626</v>
      </c>
      <c r="V4" s="186">
        <v>0.713376170989791</v>
      </c>
    </row>
    <row r="5" spans="2:22" x14ac:dyDescent="0.25">
      <c r="B5" s="86">
        <v>75</v>
      </c>
      <c r="C5" s="163">
        <v>0.3</v>
      </c>
      <c r="D5" s="141">
        <f t="shared" ref="D5:D10" si="0">LOG10(C5)</f>
        <v>-0.52287874528033762</v>
      </c>
      <c r="E5" s="140">
        <f t="shared" ref="E5:E10" si="1">$E$37-D5</f>
        <v>4.5437509541833414</v>
      </c>
      <c r="G5" s="163">
        <v>1.7</v>
      </c>
      <c r="H5" s="157">
        <f t="shared" ref="H5:H10" si="2">LOG10(G5)</f>
        <v>0.23044892137827391</v>
      </c>
      <c r="I5" s="148">
        <f t="shared" ref="I5:I10" si="3">$I$37-H5</f>
        <v>5.2034648315992174</v>
      </c>
      <c r="K5" s="163">
        <v>5</v>
      </c>
      <c r="L5" s="157">
        <f t="shared" ref="L5:L10" si="4">LOG10(K5)</f>
        <v>0.69897000433601886</v>
      </c>
      <c r="M5" s="148">
        <f t="shared" ref="M5:M10" si="5">$I$37-L5</f>
        <v>4.7349437486414727</v>
      </c>
      <c r="O5" s="163">
        <v>1.2</v>
      </c>
      <c r="P5" s="157">
        <f t="shared" ref="P5:P10" si="6">LOG10(O5)</f>
        <v>7.9181246047624818E-2</v>
      </c>
      <c r="Q5" s="148">
        <f t="shared" ref="Q5:Q10" si="7">$I$37-P5</f>
        <v>5.3547325069298664</v>
      </c>
      <c r="S5" s="87"/>
      <c r="T5" s="222">
        <v>4.020872208903004</v>
      </c>
      <c r="U5" s="187">
        <v>2.1177822219110602</v>
      </c>
      <c r="V5" s="174">
        <v>0.81404633287115447</v>
      </c>
    </row>
    <row r="6" spans="2:22" x14ac:dyDescent="0.25">
      <c r="B6" s="87"/>
      <c r="C6" s="164">
        <v>1</v>
      </c>
      <c r="D6" s="141">
        <f t="shared" si="0"/>
        <v>0</v>
      </c>
      <c r="E6" s="140">
        <f t="shared" si="1"/>
        <v>4.020872208903004</v>
      </c>
      <c r="G6" s="164">
        <v>1.3</v>
      </c>
      <c r="H6" s="141">
        <f t="shared" si="2"/>
        <v>0.11394335230683679</v>
      </c>
      <c r="I6" s="140">
        <f t="shared" si="3"/>
        <v>5.3199704006706545</v>
      </c>
      <c r="K6" s="164">
        <v>1.8</v>
      </c>
      <c r="L6" s="141">
        <f t="shared" si="4"/>
        <v>0.25527250510330607</v>
      </c>
      <c r="M6" s="140">
        <f t="shared" si="5"/>
        <v>5.178641247874185</v>
      </c>
      <c r="O6" s="164">
        <v>3</v>
      </c>
      <c r="P6" s="141">
        <f t="shared" si="6"/>
        <v>0.47712125471966244</v>
      </c>
      <c r="Q6" s="140">
        <f t="shared" si="7"/>
        <v>4.9567924982578289</v>
      </c>
      <c r="S6" s="87"/>
      <c r="T6" s="222">
        <v>4.020872208903004</v>
      </c>
      <c r="U6" s="187">
        <v>2.2079588522601483</v>
      </c>
      <c r="V6" s="174">
        <v>0.73531489989523013</v>
      </c>
    </row>
    <row r="7" spans="2:22" x14ac:dyDescent="0.25">
      <c r="B7" s="87"/>
      <c r="C7" s="164">
        <v>1</v>
      </c>
      <c r="D7" s="141">
        <f t="shared" si="0"/>
        <v>0</v>
      </c>
      <c r="E7" s="140">
        <f t="shared" si="1"/>
        <v>4.020872208903004</v>
      </c>
      <c r="G7" s="164">
        <v>2</v>
      </c>
      <c r="H7" s="141">
        <f t="shared" si="2"/>
        <v>0.3010299956639812</v>
      </c>
      <c r="I7" s="140">
        <f t="shared" si="3"/>
        <v>5.1328837573135102</v>
      </c>
      <c r="K7" s="164">
        <v>7</v>
      </c>
      <c r="L7" s="141">
        <f t="shared" si="4"/>
        <v>0.84509804001425681</v>
      </c>
      <c r="M7" s="140">
        <f t="shared" si="5"/>
        <v>4.5888157129632345</v>
      </c>
      <c r="O7" s="164">
        <v>1</v>
      </c>
      <c r="P7" s="141">
        <f t="shared" si="6"/>
        <v>0</v>
      </c>
      <c r="Q7" s="140">
        <f t="shared" si="7"/>
        <v>5.4339137529774915</v>
      </c>
      <c r="S7" s="87"/>
      <c r="T7" s="222">
        <v>4.7198422132390228</v>
      </c>
      <c r="U7" s="187">
        <v>2.3219022045669853</v>
      </c>
      <c r="V7" s="174">
        <v>0.73757098019945433</v>
      </c>
    </row>
    <row r="8" spans="2:22" x14ac:dyDescent="0.25">
      <c r="B8" s="87"/>
      <c r="C8" s="164">
        <v>0.2</v>
      </c>
      <c r="D8" s="141">
        <f t="shared" si="0"/>
        <v>-0.69897000433601875</v>
      </c>
      <c r="E8" s="140">
        <f t="shared" si="1"/>
        <v>4.7198422132390228</v>
      </c>
      <c r="G8" s="164">
        <v>1</v>
      </c>
      <c r="H8" s="141">
        <f t="shared" si="2"/>
        <v>0</v>
      </c>
      <c r="I8" s="140">
        <f t="shared" si="3"/>
        <v>5.4339137529774915</v>
      </c>
      <c r="K8" s="164">
        <v>2</v>
      </c>
      <c r="L8" s="141">
        <f t="shared" si="4"/>
        <v>0.3010299956639812</v>
      </c>
      <c r="M8" s="140">
        <f t="shared" si="5"/>
        <v>5.1328837573135102</v>
      </c>
      <c r="O8" s="164">
        <v>0.7</v>
      </c>
      <c r="P8" s="141">
        <f t="shared" si="6"/>
        <v>-0.15490195998574319</v>
      </c>
      <c r="Q8" s="140">
        <f t="shared" si="7"/>
        <v>5.5888157129632345</v>
      </c>
      <c r="S8" s="87"/>
      <c r="T8" s="222">
        <v>3.7198422132390228</v>
      </c>
      <c r="U8" s="187">
        <v>2.1232451176125626</v>
      </c>
      <c r="V8" s="174">
        <v>0.72420701864147308</v>
      </c>
    </row>
    <row r="9" spans="2:22" ht="15.75" thickBot="1" x14ac:dyDescent="0.3">
      <c r="B9" s="87"/>
      <c r="C9" s="164">
        <v>2</v>
      </c>
      <c r="D9" s="141">
        <f t="shared" si="0"/>
        <v>0.3010299956639812</v>
      </c>
      <c r="E9" s="140">
        <f t="shared" si="1"/>
        <v>3.7198422132390228</v>
      </c>
      <c r="G9" s="164">
        <v>1</v>
      </c>
      <c r="H9" s="141">
        <f t="shared" si="2"/>
        <v>0</v>
      </c>
      <c r="I9" s="140">
        <f t="shared" si="3"/>
        <v>5.4339137529774915</v>
      </c>
      <c r="K9" s="164">
        <v>1.5</v>
      </c>
      <c r="L9" s="141">
        <f t="shared" si="4"/>
        <v>0.17609125905568124</v>
      </c>
      <c r="M9" s="140">
        <f t="shared" si="5"/>
        <v>5.2578224939218101</v>
      </c>
      <c r="O9" s="164">
        <v>0.3</v>
      </c>
      <c r="P9" s="141">
        <f t="shared" si="6"/>
        <v>-0.52287874528033762</v>
      </c>
      <c r="Q9" s="140">
        <f t="shared" si="7"/>
        <v>5.9567924982578289</v>
      </c>
      <c r="S9" s="88"/>
      <c r="T9" s="223">
        <v>4.3730547270143667</v>
      </c>
      <c r="U9" s="188">
        <v>2.3487743509672865</v>
      </c>
      <c r="V9" s="189">
        <v>0.73083759754048616</v>
      </c>
    </row>
    <row r="10" spans="2:22" ht="15.75" thickBot="1" x14ac:dyDescent="0.3">
      <c r="B10" s="88"/>
      <c r="C10" s="165">
        <v>0.44444444444444442</v>
      </c>
      <c r="D10" s="142">
        <f t="shared" si="0"/>
        <v>-0.35218251811136253</v>
      </c>
      <c r="E10" s="173">
        <f t="shared" si="1"/>
        <v>4.3730547270143667</v>
      </c>
      <c r="G10" s="165">
        <v>2</v>
      </c>
      <c r="H10" s="142">
        <f t="shared" si="2"/>
        <v>0.3010299956639812</v>
      </c>
      <c r="I10" s="173">
        <f t="shared" si="3"/>
        <v>5.1328837573135102</v>
      </c>
      <c r="K10" s="165">
        <v>2</v>
      </c>
      <c r="L10" s="142">
        <f t="shared" si="4"/>
        <v>0.3010299956639812</v>
      </c>
      <c r="M10" s="173">
        <f t="shared" si="5"/>
        <v>5.1328837573135102</v>
      </c>
      <c r="O10" s="165">
        <v>1</v>
      </c>
      <c r="P10" s="142">
        <f t="shared" si="6"/>
        <v>0</v>
      </c>
      <c r="Q10" s="173">
        <f t="shared" si="7"/>
        <v>5.4339137529774915</v>
      </c>
      <c r="S10" s="224">
        <v>42151</v>
      </c>
      <c r="T10" s="221">
        <v>5.2034648315992174</v>
      </c>
      <c r="U10" s="185">
        <v>2.2971931858210848</v>
      </c>
      <c r="V10" s="186">
        <v>0.85413015636068135</v>
      </c>
    </row>
    <row r="11" spans="2:22" x14ac:dyDescent="0.25">
      <c r="C11" s="35"/>
      <c r="D11" s="35"/>
      <c r="E11" s="35"/>
      <c r="F11" s="108"/>
      <c r="G11" s="35"/>
      <c r="H11" s="35"/>
      <c r="I11" s="35"/>
      <c r="J11" s="108"/>
      <c r="K11" s="35"/>
      <c r="L11" s="35"/>
      <c r="M11" s="203"/>
      <c r="O11" s="35"/>
      <c r="P11" s="35"/>
      <c r="Q11" s="203"/>
      <c r="S11" s="87"/>
      <c r="T11" s="222">
        <v>5.3199704006706545</v>
      </c>
      <c r="U11" s="187">
        <v>2.5200999005937748</v>
      </c>
      <c r="V11" s="174">
        <v>0.72634357687955475</v>
      </c>
    </row>
    <row r="12" spans="2:22" ht="15.75" thickBot="1" x14ac:dyDescent="0.3">
      <c r="C12" s="35"/>
      <c r="D12" s="35"/>
      <c r="E12" s="35"/>
      <c r="F12" s="108"/>
      <c r="G12" s="35"/>
      <c r="H12" s="35"/>
      <c r="I12" s="35"/>
      <c r="J12" s="108"/>
      <c r="K12" s="35"/>
      <c r="L12" s="35"/>
      <c r="M12" s="203"/>
      <c r="O12" s="35"/>
      <c r="P12" s="35"/>
      <c r="Q12" s="203"/>
      <c r="S12" s="87"/>
      <c r="T12" s="222">
        <v>5.1328837573135102</v>
      </c>
      <c r="U12" s="187">
        <v>2.3404920678152563</v>
      </c>
      <c r="V12" s="174">
        <v>0.70963788337670231</v>
      </c>
    </row>
    <row r="13" spans="2:22" x14ac:dyDescent="0.25">
      <c r="B13" s="86">
        <v>72</v>
      </c>
      <c r="C13" s="12">
        <v>79</v>
      </c>
      <c r="D13" s="157">
        <f t="shared" ref="D13:D18" si="8">LOG10(C13)</f>
        <v>1.8976270912904414</v>
      </c>
      <c r="E13" s="148">
        <f>$E$37-D13</f>
        <v>2.1232451176125626</v>
      </c>
      <c r="G13" s="12">
        <v>1370</v>
      </c>
      <c r="H13" s="157">
        <f t="shared" ref="H13:H18" si="9">LOG10(G13)</f>
        <v>3.1367205671564067</v>
      </c>
      <c r="I13" s="148">
        <f t="shared" ref="I13:I18" si="10">$I$37-H13</f>
        <v>2.2971931858210848</v>
      </c>
      <c r="K13" s="12">
        <v>1110</v>
      </c>
      <c r="L13" s="157">
        <f t="shared" ref="L13:L18" si="11">LOG10(K13)</f>
        <v>3.0453229787866576</v>
      </c>
      <c r="M13" s="148">
        <f t="shared" ref="M13:M18" si="12">$I$37-L13</f>
        <v>2.3885907741908339</v>
      </c>
      <c r="O13" s="235">
        <v>920</v>
      </c>
      <c r="P13" s="157">
        <f t="shared" ref="P13:P18" si="13">LOG10(O13)</f>
        <v>2.9637878273455551</v>
      </c>
      <c r="Q13" s="148">
        <f t="shared" ref="Q13:Q18" si="14">$I$37-P13</f>
        <v>2.4701259256319363</v>
      </c>
      <c r="S13" s="87"/>
      <c r="T13" s="222">
        <v>5.4339137529774915</v>
      </c>
      <c r="U13" s="187">
        <v>2.451642519937923</v>
      </c>
      <c r="V13" s="174">
        <v>0.85413015636068135</v>
      </c>
    </row>
    <row r="14" spans="2:22" x14ac:dyDescent="0.25">
      <c r="B14" s="87"/>
      <c r="C14" s="11">
        <v>80</v>
      </c>
      <c r="D14" s="141">
        <f t="shared" si="8"/>
        <v>1.9030899869919435</v>
      </c>
      <c r="E14" s="140">
        <f t="shared" ref="E14:E18" si="15">$E$37-D14</f>
        <v>2.1177822219110602</v>
      </c>
      <c r="G14" s="11">
        <v>820</v>
      </c>
      <c r="H14" s="141">
        <f t="shared" si="9"/>
        <v>2.9138138523837167</v>
      </c>
      <c r="I14" s="140">
        <f t="shared" si="10"/>
        <v>2.5200999005937748</v>
      </c>
      <c r="K14" s="11">
        <v>1210</v>
      </c>
      <c r="L14" s="141">
        <f t="shared" si="11"/>
        <v>3.0827853703164503</v>
      </c>
      <c r="M14" s="140">
        <f t="shared" si="12"/>
        <v>2.3511283826610412</v>
      </c>
      <c r="O14" s="228">
        <v>1150</v>
      </c>
      <c r="P14" s="141">
        <f t="shared" si="13"/>
        <v>3.0606978403536118</v>
      </c>
      <c r="Q14" s="140">
        <f t="shared" si="14"/>
        <v>2.3732159126238797</v>
      </c>
      <c r="S14" s="87"/>
      <c r="T14" s="222">
        <v>5.4339137529774915</v>
      </c>
      <c r="U14" s="187">
        <v>2.7526725156019043</v>
      </c>
      <c r="V14" s="174">
        <v>0.80044529739790526</v>
      </c>
    </row>
    <row r="15" spans="2:22" ht="15.75" thickBot="1" x14ac:dyDescent="0.3">
      <c r="B15" s="87"/>
      <c r="C15" s="11">
        <v>65</v>
      </c>
      <c r="D15" s="141">
        <f t="shared" si="8"/>
        <v>1.8129133566428555</v>
      </c>
      <c r="E15" s="140">
        <f t="shared" si="15"/>
        <v>2.2079588522601483</v>
      </c>
      <c r="G15" s="11">
        <v>1240</v>
      </c>
      <c r="H15" s="141">
        <f t="shared" si="9"/>
        <v>3.0934216851622351</v>
      </c>
      <c r="I15" s="140">
        <f t="shared" si="10"/>
        <v>2.3404920678152563</v>
      </c>
      <c r="K15" s="11">
        <v>1190</v>
      </c>
      <c r="L15" s="141">
        <f t="shared" si="11"/>
        <v>3.0755469613925306</v>
      </c>
      <c r="M15" s="140">
        <f t="shared" si="12"/>
        <v>2.3583667915849609</v>
      </c>
      <c r="O15" s="228">
        <v>950</v>
      </c>
      <c r="P15" s="141">
        <f t="shared" si="13"/>
        <v>2.9777236052888476</v>
      </c>
      <c r="Q15" s="140">
        <f t="shared" si="14"/>
        <v>2.4561901476886439</v>
      </c>
      <c r="S15" s="87"/>
      <c r="T15" s="223">
        <v>5.1328837573135102</v>
      </c>
      <c r="U15" s="188">
        <v>2.4561901476886439</v>
      </c>
      <c r="V15" s="189">
        <v>1.1116944582435719</v>
      </c>
    </row>
    <row r="16" spans="2:22" x14ac:dyDescent="0.25">
      <c r="B16" s="87"/>
      <c r="C16" s="11">
        <v>50</v>
      </c>
      <c r="D16" s="141">
        <f t="shared" si="8"/>
        <v>1.6989700043360187</v>
      </c>
      <c r="E16" s="140">
        <f t="shared" si="15"/>
        <v>2.3219022045669853</v>
      </c>
      <c r="G16" s="11">
        <v>960</v>
      </c>
      <c r="H16" s="141">
        <f t="shared" si="9"/>
        <v>2.9822712330395684</v>
      </c>
      <c r="I16" s="140">
        <f t="shared" si="10"/>
        <v>2.451642519937923</v>
      </c>
      <c r="K16" s="11">
        <v>1380</v>
      </c>
      <c r="L16" s="141">
        <f t="shared" si="11"/>
        <v>3.1398790864012365</v>
      </c>
      <c r="M16" s="140">
        <f t="shared" si="12"/>
        <v>2.294034666576255</v>
      </c>
      <c r="O16" s="228">
        <v>1030</v>
      </c>
      <c r="P16" s="141">
        <f t="shared" si="13"/>
        <v>3.012837224705172</v>
      </c>
      <c r="Q16" s="140">
        <f t="shared" si="14"/>
        <v>2.4210765282723195</v>
      </c>
      <c r="S16" s="225">
        <v>42157</v>
      </c>
      <c r="T16" s="221">
        <v>4.7349437486414727</v>
      </c>
      <c r="U16" s="187">
        <v>2.3885907741908339</v>
      </c>
      <c r="V16" s="174">
        <v>1.0628458907057556</v>
      </c>
    </row>
    <row r="17" spans="2:24" x14ac:dyDescent="0.25">
      <c r="B17" s="87"/>
      <c r="C17" s="11">
        <v>79</v>
      </c>
      <c r="D17" s="141">
        <f t="shared" si="8"/>
        <v>1.8976270912904414</v>
      </c>
      <c r="E17" s="140">
        <f t="shared" si="15"/>
        <v>2.1232451176125626</v>
      </c>
      <c r="G17" s="11">
        <v>480</v>
      </c>
      <c r="H17" s="141">
        <f t="shared" si="9"/>
        <v>2.6812412373755872</v>
      </c>
      <c r="I17" s="140">
        <f t="shared" si="10"/>
        <v>2.7526725156019043</v>
      </c>
      <c r="K17" s="11">
        <v>1300</v>
      </c>
      <c r="L17" s="141">
        <f t="shared" si="11"/>
        <v>3.1139433523068369</v>
      </c>
      <c r="M17" s="140">
        <f t="shared" si="12"/>
        <v>2.3199704006706545</v>
      </c>
      <c r="O17" s="228">
        <v>1020</v>
      </c>
      <c r="P17" s="141">
        <f t="shared" si="13"/>
        <v>3.0086001717619175</v>
      </c>
      <c r="Q17" s="140">
        <f t="shared" si="14"/>
        <v>2.4253135812155739</v>
      </c>
      <c r="S17" s="87"/>
      <c r="T17" s="222">
        <v>5.178641247874185</v>
      </c>
      <c r="U17" s="187">
        <v>2.3511283826610412</v>
      </c>
      <c r="V17" s="174">
        <v>1.0074024916129165</v>
      </c>
    </row>
    <row r="18" spans="2:24" ht="15.75" thickBot="1" x14ac:dyDescent="0.3">
      <c r="B18" s="88"/>
      <c r="C18" s="15">
        <v>47</v>
      </c>
      <c r="D18" s="142">
        <f t="shared" si="8"/>
        <v>1.6720978579357175</v>
      </c>
      <c r="E18" s="173">
        <f t="shared" si="15"/>
        <v>2.3487743509672865</v>
      </c>
      <c r="G18" s="15">
        <v>950</v>
      </c>
      <c r="H18" s="142">
        <f t="shared" si="9"/>
        <v>2.9777236052888476</v>
      </c>
      <c r="I18" s="173">
        <f t="shared" si="10"/>
        <v>2.4561901476886439</v>
      </c>
      <c r="K18" s="15">
        <v>1530</v>
      </c>
      <c r="L18" s="142">
        <f t="shared" si="11"/>
        <v>3.1846914308175989</v>
      </c>
      <c r="M18" s="173">
        <f t="shared" si="12"/>
        <v>2.2492223221598926</v>
      </c>
      <c r="O18" s="229">
        <v>1170</v>
      </c>
      <c r="P18" s="142">
        <f t="shared" si="13"/>
        <v>3.0681858617461617</v>
      </c>
      <c r="Q18" s="173">
        <f t="shared" si="14"/>
        <v>2.3657278912313298</v>
      </c>
      <c r="S18" s="87"/>
      <c r="T18" s="222">
        <v>4.5888157129632345</v>
      </c>
      <c r="U18" s="187">
        <v>2.3583667915849609</v>
      </c>
      <c r="V18" s="174">
        <v>1.0628458907057556</v>
      </c>
    </row>
    <row r="19" spans="2:24" x14ac:dyDescent="0.25">
      <c r="C19" s="35"/>
      <c r="D19" s="35"/>
      <c r="E19" s="35"/>
      <c r="F19" s="108"/>
      <c r="G19" s="35"/>
      <c r="H19" s="35"/>
      <c r="I19" s="35"/>
      <c r="J19" s="108"/>
      <c r="K19" s="35"/>
      <c r="L19" s="35"/>
      <c r="M19" s="203"/>
      <c r="O19" s="35"/>
      <c r="P19" s="35"/>
      <c r="Q19" s="203"/>
      <c r="S19" s="87"/>
      <c r="T19" s="222">
        <v>5.1328837573135102</v>
      </c>
      <c r="U19" s="187">
        <v>2.294034666576255</v>
      </c>
      <c r="V19" s="174">
        <v>0.99934484894329234</v>
      </c>
    </row>
    <row r="20" spans="2:24" ht="15.75" thickBot="1" x14ac:dyDescent="0.3">
      <c r="C20" s="35"/>
      <c r="D20" s="35"/>
      <c r="E20" s="35"/>
      <c r="F20" s="108"/>
      <c r="G20" s="35"/>
      <c r="H20" s="35"/>
      <c r="I20" s="35"/>
      <c r="J20" s="108"/>
      <c r="K20" s="35"/>
      <c r="L20" s="35"/>
      <c r="M20" s="203"/>
      <c r="O20" s="35"/>
      <c r="P20" s="35"/>
      <c r="Q20" s="203"/>
      <c r="S20" s="87"/>
      <c r="T20" s="222">
        <v>5.2578224939218101</v>
      </c>
      <c r="U20" s="187">
        <v>2.3199704006706545</v>
      </c>
      <c r="V20" s="174">
        <v>1.0447476686129589</v>
      </c>
    </row>
    <row r="21" spans="2:24" ht="15.75" thickBot="1" x14ac:dyDescent="0.3">
      <c r="B21" s="86">
        <v>69</v>
      </c>
      <c r="C21" s="12">
        <v>2030</v>
      </c>
      <c r="D21" s="157">
        <f t="shared" ref="D21:D26" si="16">LOG10(C21)</f>
        <v>3.307496037913213</v>
      </c>
      <c r="E21" s="148">
        <f>$E$37-D21</f>
        <v>0.713376170989791</v>
      </c>
      <c r="G21" s="12">
        <v>38000</v>
      </c>
      <c r="H21" s="157">
        <f t="shared" ref="H21:H26" si="17">LOG10(G21)</f>
        <v>4.5797835966168101</v>
      </c>
      <c r="I21" s="148">
        <f t="shared" ref="I21:I26" si="18">$I$37-H21</f>
        <v>0.85413015636068135</v>
      </c>
      <c r="K21" s="12">
        <v>23500</v>
      </c>
      <c r="L21" s="157">
        <f t="shared" ref="L21:L26" si="19">LOG10(K21)</f>
        <v>4.3710678622717358</v>
      </c>
      <c r="M21" s="148">
        <f t="shared" ref="M21:M26" si="20">$I$37-L21</f>
        <v>1.0628458907057556</v>
      </c>
      <c r="O21" s="228">
        <v>29700</v>
      </c>
      <c r="P21" s="157">
        <f t="shared" ref="P21:P26" si="21">LOG10(O21)</f>
        <v>4.4727564493172123</v>
      </c>
      <c r="Q21" s="148">
        <f t="shared" ref="Q21:Q26" si="22">$I$37-P21</f>
        <v>0.96115730366027918</v>
      </c>
      <c r="S21" s="88"/>
      <c r="T21" s="223">
        <v>5.1328837573135102</v>
      </c>
      <c r="U21" s="188">
        <v>2.2492223221598926</v>
      </c>
      <c r="V21" s="189">
        <v>1.005778958948703</v>
      </c>
    </row>
    <row r="22" spans="2:24" x14ac:dyDescent="0.25">
      <c r="B22" s="87"/>
      <c r="C22" s="11">
        <v>1610</v>
      </c>
      <c r="D22" s="141">
        <f t="shared" si="16"/>
        <v>3.2068258760318495</v>
      </c>
      <c r="E22" s="140">
        <f t="shared" ref="E22:E26" si="23">$E$37-D22</f>
        <v>0.81404633287115447</v>
      </c>
      <c r="G22" s="11">
        <v>51000</v>
      </c>
      <c r="H22" s="141">
        <f t="shared" si="17"/>
        <v>4.7075701760979367</v>
      </c>
      <c r="I22" s="140">
        <f t="shared" si="18"/>
        <v>0.72634357687955475</v>
      </c>
      <c r="K22" s="11">
        <v>26700</v>
      </c>
      <c r="L22" s="141">
        <f t="shared" si="19"/>
        <v>4.426511261364575</v>
      </c>
      <c r="M22" s="140">
        <f t="shared" si="20"/>
        <v>1.0074024916129165</v>
      </c>
      <c r="O22" s="228">
        <v>27600</v>
      </c>
      <c r="P22" s="141">
        <f t="shared" si="21"/>
        <v>4.4409090820652173</v>
      </c>
      <c r="Q22" s="140">
        <f t="shared" si="22"/>
        <v>0.99300467091227418</v>
      </c>
      <c r="S22" s="224">
        <v>42178</v>
      </c>
      <c r="T22" s="222">
        <f>Q5</f>
        <v>5.3547325069298664</v>
      </c>
      <c r="U22" s="187">
        <f>Q13</f>
        <v>2.4701259256319363</v>
      </c>
      <c r="V22" s="174">
        <f>Q21</f>
        <v>0.96115730366027918</v>
      </c>
    </row>
    <row r="23" spans="2:24" x14ac:dyDescent="0.25">
      <c r="B23" s="87"/>
      <c r="C23" s="11">
        <v>1930</v>
      </c>
      <c r="D23" s="141">
        <f t="shared" si="16"/>
        <v>3.2855573090077739</v>
      </c>
      <c r="E23" s="140">
        <f t="shared" si="23"/>
        <v>0.73531489989523013</v>
      </c>
      <c r="G23" s="11">
        <v>53000</v>
      </c>
      <c r="H23" s="141">
        <f t="shared" si="17"/>
        <v>4.7242758696007892</v>
      </c>
      <c r="I23" s="140">
        <f t="shared" si="18"/>
        <v>0.70963788337670231</v>
      </c>
      <c r="K23" s="11">
        <v>23500</v>
      </c>
      <c r="L23" s="141">
        <f t="shared" si="19"/>
        <v>4.3710678622717358</v>
      </c>
      <c r="M23" s="140">
        <f t="shared" si="20"/>
        <v>1.0628458907057556</v>
      </c>
      <c r="O23" s="228">
        <v>26500</v>
      </c>
      <c r="P23" s="141">
        <f t="shared" si="21"/>
        <v>4.4232458739368079</v>
      </c>
      <c r="Q23" s="140">
        <f t="shared" si="22"/>
        <v>1.0106678790406836</v>
      </c>
      <c r="S23" s="87"/>
      <c r="T23" s="222">
        <f t="shared" ref="T23:T27" si="24">Q6</f>
        <v>4.9567924982578289</v>
      </c>
      <c r="U23" s="187">
        <f t="shared" ref="U23:U27" si="25">Q14</f>
        <v>2.3732159126238797</v>
      </c>
      <c r="V23" s="174">
        <f t="shared" ref="V23:V27" si="26">Q22</f>
        <v>0.99300467091227418</v>
      </c>
    </row>
    <row r="24" spans="2:24" x14ac:dyDescent="0.25">
      <c r="B24" s="87"/>
      <c r="C24" s="11">
        <v>1920</v>
      </c>
      <c r="D24" s="141">
        <f t="shared" si="16"/>
        <v>3.2833012287035497</v>
      </c>
      <c r="E24" s="140">
        <f t="shared" si="23"/>
        <v>0.73757098019945433</v>
      </c>
      <c r="G24" s="11">
        <v>38000</v>
      </c>
      <c r="H24" s="141">
        <f t="shared" si="17"/>
        <v>4.5797835966168101</v>
      </c>
      <c r="I24" s="140">
        <f t="shared" si="18"/>
        <v>0.85413015636068135</v>
      </c>
      <c r="K24" s="11">
        <v>27200</v>
      </c>
      <c r="L24" s="141">
        <f t="shared" si="19"/>
        <v>4.4345689040341991</v>
      </c>
      <c r="M24" s="140">
        <f t="shared" si="20"/>
        <v>0.99934484894329234</v>
      </c>
      <c r="O24" s="228">
        <v>26100</v>
      </c>
      <c r="P24" s="141">
        <f t="shared" si="21"/>
        <v>4.4166405073382808</v>
      </c>
      <c r="Q24" s="140">
        <f t="shared" si="22"/>
        <v>1.0172732456392106</v>
      </c>
      <c r="S24" s="87"/>
      <c r="T24" s="222">
        <f t="shared" si="24"/>
        <v>5.4339137529774915</v>
      </c>
      <c r="U24" s="187">
        <f t="shared" si="25"/>
        <v>2.4561901476886439</v>
      </c>
      <c r="V24" s="174">
        <f t="shared" si="26"/>
        <v>1.0106678790406836</v>
      </c>
    </row>
    <row r="25" spans="2:24" x14ac:dyDescent="0.25">
      <c r="B25" s="87"/>
      <c r="C25" s="11">
        <v>1980</v>
      </c>
      <c r="D25" s="141">
        <f t="shared" si="16"/>
        <v>3.2966651902615309</v>
      </c>
      <c r="E25" s="140">
        <f t="shared" si="23"/>
        <v>0.72420701864147308</v>
      </c>
      <c r="G25" s="11">
        <v>43000</v>
      </c>
      <c r="H25" s="141">
        <f t="shared" si="17"/>
        <v>4.6334684555795862</v>
      </c>
      <c r="I25" s="140">
        <f t="shared" si="18"/>
        <v>0.80044529739790526</v>
      </c>
      <c r="K25" s="11">
        <v>24500</v>
      </c>
      <c r="L25" s="141">
        <f t="shared" si="19"/>
        <v>4.3891660843645326</v>
      </c>
      <c r="M25" s="140">
        <f t="shared" si="20"/>
        <v>1.0447476686129589</v>
      </c>
      <c r="O25" s="228">
        <v>28900</v>
      </c>
      <c r="P25" s="141">
        <f t="shared" si="21"/>
        <v>4.4608978427565482</v>
      </c>
      <c r="Q25" s="140">
        <f t="shared" si="22"/>
        <v>0.97301591022094325</v>
      </c>
      <c r="S25" s="87"/>
      <c r="T25" s="222">
        <f t="shared" si="24"/>
        <v>5.5888157129632345</v>
      </c>
      <c r="U25" s="187">
        <f t="shared" si="25"/>
        <v>2.4210765282723195</v>
      </c>
      <c r="V25" s="174">
        <f t="shared" si="26"/>
        <v>1.0172732456392106</v>
      </c>
    </row>
    <row r="26" spans="2:24" ht="15.75" thickBot="1" x14ac:dyDescent="0.3">
      <c r="B26" s="88"/>
      <c r="C26" s="15">
        <v>1950</v>
      </c>
      <c r="D26" s="142">
        <f t="shared" si="16"/>
        <v>3.2900346113625178</v>
      </c>
      <c r="E26" s="173">
        <f t="shared" si="23"/>
        <v>0.73083759754048616</v>
      </c>
      <c r="G26" s="15">
        <v>21000</v>
      </c>
      <c r="H26" s="142">
        <f t="shared" si="17"/>
        <v>4.3222192947339195</v>
      </c>
      <c r="I26" s="173">
        <f t="shared" si="18"/>
        <v>1.1116944582435719</v>
      </c>
      <c r="K26" s="15">
        <v>26800</v>
      </c>
      <c r="L26" s="142">
        <f t="shared" si="19"/>
        <v>4.4281347940287885</v>
      </c>
      <c r="M26" s="173">
        <f t="shared" si="20"/>
        <v>1.005778958948703</v>
      </c>
      <c r="O26" s="229">
        <v>31300</v>
      </c>
      <c r="P26" s="142">
        <f t="shared" si="21"/>
        <v>4.4955443375464483</v>
      </c>
      <c r="Q26" s="173">
        <f t="shared" si="22"/>
        <v>0.93836941543104313</v>
      </c>
      <c r="S26" s="87"/>
      <c r="T26" s="222">
        <f t="shared" si="24"/>
        <v>5.9567924982578289</v>
      </c>
      <c r="U26" s="187">
        <f t="shared" si="25"/>
        <v>2.4253135812155739</v>
      </c>
      <c r="V26" s="174">
        <f t="shared" si="26"/>
        <v>0.97301591022094325</v>
      </c>
    </row>
    <row r="27" spans="2:24" ht="15.75" thickBot="1" x14ac:dyDescent="0.3">
      <c r="C27" s="35"/>
      <c r="D27" s="35"/>
      <c r="E27" s="35"/>
      <c r="F27" s="108"/>
      <c r="G27" s="35"/>
      <c r="H27" s="35"/>
      <c r="I27" s="35"/>
      <c r="J27" s="108"/>
      <c r="K27" s="35"/>
      <c r="L27" s="35"/>
      <c r="M27" s="203"/>
      <c r="S27" s="88"/>
      <c r="T27" s="222">
        <f t="shared" si="24"/>
        <v>5.4339137529774915</v>
      </c>
      <c r="U27" s="187">
        <f t="shared" si="25"/>
        <v>2.3657278912313298</v>
      </c>
      <c r="V27" s="174">
        <f t="shared" si="26"/>
        <v>0.93836941543104313</v>
      </c>
    </row>
    <row r="28" spans="2:24" ht="15.75" thickBot="1" x14ac:dyDescent="0.3">
      <c r="C28" s="35"/>
      <c r="D28" s="35"/>
      <c r="E28" s="35"/>
      <c r="F28" s="108"/>
      <c r="G28" s="108"/>
      <c r="H28" s="108"/>
      <c r="I28" s="108"/>
      <c r="J28" s="108"/>
      <c r="K28" s="108"/>
      <c r="L28" s="108"/>
      <c r="M28" s="108"/>
    </row>
    <row r="29" spans="2:24" ht="23.25" x14ac:dyDescent="0.35">
      <c r="B29" s="86">
        <v>66</v>
      </c>
      <c r="C29" s="12">
        <v>2800</v>
      </c>
      <c r="D29" s="157">
        <f t="shared" ref="D29:D34" si="27">LOG10(C29)</f>
        <v>3.4471580313422194</v>
      </c>
      <c r="E29" s="148">
        <f>$E$37-D29</f>
        <v>0.57371417756078458</v>
      </c>
      <c r="S29" s="219" t="s">
        <v>302</v>
      </c>
      <c r="T29" s="197">
        <f>AVERAGE(T4:T27)</f>
        <v>4.9919256757802115</v>
      </c>
      <c r="U29" s="197">
        <f>AVERAGE(U4:U27)</f>
        <v>2.3555900636206881</v>
      </c>
      <c r="V29" s="197">
        <f>AVERAGE(V4:V27)</f>
        <v>0.8995078626329378</v>
      </c>
    </row>
    <row r="30" spans="2:24" ht="18.75" customHeight="1" x14ac:dyDescent="0.35">
      <c r="B30" s="87"/>
      <c r="C30" s="11">
        <v>2100</v>
      </c>
      <c r="D30" s="141">
        <f t="shared" si="27"/>
        <v>3.3222192947339191</v>
      </c>
      <c r="E30" s="140">
        <f t="shared" ref="E30:E34" si="28">$E$37-D30</f>
        <v>0.69865291416908493</v>
      </c>
      <c r="S30" s="219" t="s">
        <v>239</v>
      </c>
      <c r="T30" s="192">
        <f>_xlfn.STDEV.S(T4:T27)</f>
        <v>0.54888978795536447</v>
      </c>
      <c r="U30" s="136">
        <f>_xlfn.STDEV.S(U4:U27)</f>
        <v>0.13917622456275541</v>
      </c>
      <c r="V30" s="136">
        <f>_xlfn.STDEV.S(V4:V27)</f>
        <v>0.13710350595038556</v>
      </c>
      <c r="W30" s="127" t="s">
        <v>246</v>
      </c>
      <c r="X30" s="136">
        <f>AVERAGE(T30:V30)</f>
        <v>0.2750565061561685</v>
      </c>
    </row>
    <row r="31" spans="2:24" ht="23.25" x14ac:dyDescent="0.35">
      <c r="B31" s="87"/>
      <c r="C31" s="11">
        <v>1500</v>
      </c>
      <c r="D31" s="141">
        <f t="shared" si="27"/>
        <v>3.1760912590556813</v>
      </c>
      <c r="E31" s="140">
        <f t="shared" si="28"/>
        <v>0.84478094984732266</v>
      </c>
      <c r="S31" s="219" t="s">
        <v>301</v>
      </c>
      <c r="T31" s="197">
        <f>_xlfn.PERCENTILE.INC(T4:T27,0.05)</f>
        <v>4.020872208903004</v>
      </c>
      <c r="U31" s="197">
        <f>_xlfn.PERCENTILE.INC(U4:U27,0.05)</f>
        <v>2.1232451176125626</v>
      </c>
      <c r="V31" s="197">
        <f>_xlfn.PERCENTILE.INC(V4:V27,0.05)</f>
        <v>0.71500079813754336</v>
      </c>
    </row>
    <row r="32" spans="2:24" x14ac:dyDescent="0.25">
      <c r="B32" s="87"/>
      <c r="C32" s="11">
        <v>1600</v>
      </c>
      <c r="D32" s="141">
        <f t="shared" si="27"/>
        <v>3.2041199826559246</v>
      </c>
      <c r="E32" s="140">
        <f t="shared" si="28"/>
        <v>0.81675222624707944</v>
      </c>
    </row>
    <row r="33" spans="2:17" x14ac:dyDescent="0.25">
      <c r="B33" s="87"/>
      <c r="C33" s="11">
        <v>1000</v>
      </c>
      <c r="D33" s="141">
        <f t="shared" si="27"/>
        <v>3</v>
      </c>
      <c r="E33" s="140">
        <f t="shared" si="28"/>
        <v>1.020872208903004</v>
      </c>
    </row>
    <row r="34" spans="2:17" ht="15.75" thickBot="1" x14ac:dyDescent="0.3">
      <c r="B34" s="88"/>
      <c r="C34" s="15">
        <v>1400</v>
      </c>
      <c r="D34" s="142">
        <f t="shared" si="27"/>
        <v>3.1461280356782382</v>
      </c>
      <c r="E34" s="173">
        <f t="shared" si="28"/>
        <v>0.87474417322476583</v>
      </c>
    </row>
    <row r="35" spans="2:17" ht="15.75" thickBot="1" x14ac:dyDescent="0.3">
      <c r="B35" s="35"/>
      <c r="C35" s="204"/>
      <c r="D35" s="204"/>
      <c r="E35" s="204"/>
      <c r="F35" s="205"/>
      <c r="G35" s="204"/>
      <c r="H35" s="204"/>
      <c r="I35" s="204"/>
      <c r="J35" s="205"/>
      <c r="K35" s="204"/>
      <c r="L35" s="204"/>
      <c r="M35" s="204"/>
    </row>
    <row r="36" spans="2:17" ht="15.75" thickBot="1" x14ac:dyDescent="0.3">
      <c r="B36" s="103"/>
      <c r="C36" s="178" t="s">
        <v>57</v>
      </c>
      <c r="D36" s="178" t="s">
        <v>240</v>
      </c>
      <c r="E36" s="178" t="s">
        <v>295</v>
      </c>
      <c r="F36" s="177"/>
      <c r="G36" s="178"/>
      <c r="H36" s="178" t="s">
        <v>240</v>
      </c>
      <c r="I36" s="178" t="s">
        <v>295</v>
      </c>
      <c r="J36" s="177"/>
      <c r="K36" s="178"/>
      <c r="L36" s="178" t="s">
        <v>240</v>
      </c>
      <c r="M36" s="178" t="s">
        <v>295</v>
      </c>
      <c r="O36" s="178"/>
      <c r="P36" s="178" t="s">
        <v>240</v>
      </c>
      <c r="Q36" s="178" t="s">
        <v>295</v>
      </c>
    </row>
    <row r="37" spans="2:17" x14ac:dyDescent="0.25">
      <c r="B37" s="86" t="s">
        <v>179</v>
      </c>
      <c r="C37" s="176">
        <v>7300</v>
      </c>
      <c r="D37" s="179">
        <f t="shared" ref="D37:D42" si="29">LOG10(C37)</f>
        <v>3.8633228601204559</v>
      </c>
      <c r="E37" s="180">
        <f>AVERAGE(D37:D42)</f>
        <v>4.020872208903004</v>
      </c>
      <c r="F37" s="177"/>
      <c r="G37" s="181">
        <v>253000</v>
      </c>
      <c r="H37" s="179">
        <f t="shared" ref="H37:H42" si="30">LOG10(G37)</f>
        <v>5.4031205211758175</v>
      </c>
      <c r="I37" s="180">
        <f>AVERAGE(H37:H42)</f>
        <v>5.4339137529774915</v>
      </c>
      <c r="J37" s="177"/>
      <c r="K37" s="181">
        <v>246000</v>
      </c>
      <c r="L37" s="179">
        <f t="shared" ref="L37:L42" si="31">LOG10(K37)</f>
        <v>5.3909351071033793</v>
      </c>
      <c r="M37" s="180">
        <f>AVERAGE(L37:L42)</f>
        <v>5.4224591546471386</v>
      </c>
      <c r="O37" s="228">
        <v>298000</v>
      </c>
      <c r="P37" s="179">
        <f t="shared" ref="P37:P42" si="32">LOG10(O37)</f>
        <v>5.4742162640762553</v>
      </c>
      <c r="Q37" s="180">
        <f>AVERAGE(P37:P42)</f>
        <v>5.4560210181519793</v>
      </c>
    </row>
    <row r="38" spans="2:17" x14ac:dyDescent="0.25">
      <c r="B38" s="87"/>
      <c r="C38" s="181">
        <v>10900</v>
      </c>
      <c r="D38" s="179">
        <f t="shared" si="29"/>
        <v>4.0374264979406238</v>
      </c>
      <c r="E38" s="181"/>
      <c r="F38" s="177"/>
      <c r="G38" s="181">
        <v>266000</v>
      </c>
      <c r="H38" s="179">
        <f t="shared" si="30"/>
        <v>5.424881636631067</v>
      </c>
      <c r="I38" s="181"/>
      <c r="J38" s="177"/>
      <c r="K38" s="181">
        <v>272000</v>
      </c>
      <c r="L38" s="179">
        <f t="shared" si="31"/>
        <v>5.4345689040341991</v>
      </c>
      <c r="M38" s="181"/>
      <c r="O38" s="228">
        <v>260000</v>
      </c>
      <c r="P38" s="179">
        <f t="shared" si="32"/>
        <v>5.4149733479708182</v>
      </c>
      <c r="Q38" s="181"/>
    </row>
    <row r="39" spans="2:17" x14ac:dyDescent="0.25">
      <c r="B39" s="87"/>
      <c r="C39" s="181">
        <v>11133</v>
      </c>
      <c r="D39" s="179">
        <f t="shared" si="29"/>
        <v>4.0466122090684458</v>
      </c>
      <c r="E39" s="181"/>
      <c r="F39" s="177"/>
      <c r="G39" s="181">
        <v>264000</v>
      </c>
      <c r="H39" s="179">
        <f t="shared" si="30"/>
        <v>5.4216039268698308</v>
      </c>
      <c r="I39" s="181"/>
      <c r="J39" s="177"/>
      <c r="K39" s="181">
        <v>274000</v>
      </c>
      <c r="L39" s="179">
        <f t="shared" si="31"/>
        <v>5.4377505628203879</v>
      </c>
      <c r="M39" s="181"/>
      <c r="O39" s="231">
        <v>292333.33333333331</v>
      </c>
      <c r="P39" s="179">
        <f t="shared" si="32"/>
        <v>5.4658783386463776</v>
      </c>
      <c r="Q39" s="181"/>
    </row>
    <row r="40" spans="2:17" x14ac:dyDescent="0.25">
      <c r="B40" s="87"/>
      <c r="C40" s="181">
        <v>9400</v>
      </c>
      <c r="D40" s="179">
        <f t="shared" si="29"/>
        <v>3.9731278535996988</v>
      </c>
      <c r="E40" s="181"/>
      <c r="F40" s="177"/>
      <c r="G40" s="181">
        <v>270000</v>
      </c>
      <c r="H40" s="179">
        <f t="shared" si="30"/>
        <v>5.4313637641589869</v>
      </c>
      <c r="I40" s="181"/>
      <c r="J40" s="177"/>
      <c r="K40" s="181">
        <v>248000</v>
      </c>
      <c r="L40" s="179">
        <f t="shared" si="31"/>
        <v>5.394451680826216</v>
      </c>
      <c r="M40" s="181"/>
      <c r="O40" s="228">
        <v>288000</v>
      </c>
      <c r="P40" s="179">
        <f t="shared" si="32"/>
        <v>5.4593924877592306</v>
      </c>
      <c r="Q40" s="181"/>
    </row>
    <row r="41" spans="2:17" x14ac:dyDescent="0.25">
      <c r="B41" s="87"/>
      <c r="C41" s="181">
        <v>10900</v>
      </c>
      <c r="D41" s="179">
        <f t="shared" si="29"/>
        <v>4.0374264979406238</v>
      </c>
      <c r="E41" s="181"/>
      <c r="F41" s="177"/>
      <c r="G41" s="181">
        <v>269000</v>
      </c>
      <c r="H41" s="179">
        <f t="shared" si="30"/>
        <v>5.4297522800024076</v>
      </c>
      <c r="I41" s="181"/>
      <c r="J41" s="177"/>
      <c r="K41" s="181">
        <v>272000</v>
      </c>
      <c r="L41" s="179">
        <f t="shared" si="31"/>
        <v>5.4345689040341991</v>
      </c>
      <c r="M41" s="181"/>
      <c r="O41" s="228">
        <v>284000</v>
      </c>
      <c r="P41" s="179">
        <f t="shared" si="32"/>
        <v>5.453318340047038</v>
      </c>
      <c r="Q41" s="181"/>
    </row>
    <row r="42" spans="2:17" ht="15.75" thickBot="1" x14ac:dyDescent="0.3">
      <c r="B42" s="88"/>
      <c r="C42" s="182">
        <v>14700</v>
      </c>
      <c r="D42" s="183">
        <f t="shared" si="29"/>
        <v>4.1673173347481764</v>
      </c>
      <c r="E42" s="182"/>
      <c r="F42" s="177"/>
      <c r="G42" s="182">
        <v>311000</v>
      </c>
      <c r="H42" s="183">
        <f t="shared" si="30"/>
        <v>5.4927603890268379</v>
      </c>
      <c r="I42" s="182"/>
      <c r="J42" s="177"/>
      <c r="K42" s="182">
        <v>277000</v>
      </c>
      <c r="L42" s="183">
        <f t="shared" si="31"/>
        <v>5.4424797690644482</v>
      </c>
      <c r="M42" s="182"/>
      <c r="O42" s="229">
        <v>294000</v>
      </c>
      <c r="P42" s="183">
        <f t="shared" si="32"/>
        <v>5.4683473304121577</v>
      </c>
      <c r="Q42" s="182"/>
    </row>
    <row r="43" spans="2:17" x14ac:dyDescent="0.25">
      <c r="C43" s="4"/>
      <c r="D43" s="4"/>
      <c r="E43" s="4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zoomScaleNormal="100" workbookViewId="0"/>
  </sheetViews>
  <sheetFormatPr defaultRowHeight="15" x14ac:dyDescent="0.25"/>
  <cols>
    <col min="2" max="2" width="11.7109375" bestFit="1" customWidth="1"/>
    <col min="3" max="3" width="19.140625" bestFit="1" customWidth="1"/>
    <col min="4" max="4" width="10.5703125" bestFit="1" customWidth="1"/>
    <col min="6" max="6" width="19.140625" bestFit="1" customWidth="1"/>
    <col min="7" max="7" width="10.5703125" bestFit="1" customWidth="1"/>
    <col min="9" max="9" width="19.140625" bestFit="1" customWidth="1"/>
    <col min="10" max="10" width="10.5703125" bestFit="1" customWidth="1"/>
    <col min="11" max="11" width="10.5703125" customWidth="1"/>
    <col min="12" max="12" width="17.42578125" customWidth="1"/>
    <col min="13" max="13" width="13.5703125" customWidth="1"/>
    <col min="14" max="14" width="10.5703125" customWidth="1"/>
    <col min="15" max="15" width="32.42578125" customWidth="1"/>
    <col min="16" max="19" width="9.140625" style="4"/>
  </cols>
  <sheetData>
    <row r="1" spans="2:19" ht="15.75" thickBot="1" x14ac:dyDescent="0.3">
      <c r="B1" t="s">
        <v>294</v>
      </c>
    </row>
    <row r="2" spans="2:19" ht="15.75" thickBot="1" x14ac:dyDescent="0.3">
      <c r="C2" s="225">
        <v>42118</v>
      </c>
      <c r="F2" s="226">
        <v>42151</v>
      </c>
      <c r="I2" s="225">
        <v>42157</v>
      </c>
      <c r="L2" s="225">
        <v>42178</v>
      </c>
    </row>
    <row r="3" spans="2:19" ht="15.75" thickBot="1" x14ac:dyDescent="0.3">
      <c r="B3" t="s">
        <v>325</v>
      </c>
      <c r="C3" s="7" t="s">
        <v>57</v>
      </c>
      <c r="D3" s="7" t="s">
        <v>240</v>
      </c>
      <c r="F3" s="7" t="s">
        <v>57</v>
      </c>
      <c r="G3" s="7" t="s">
        <v>240</v>
      </c>
      <c r="I3" s="7" t="s">
        <v>57</v>
      </c>
      <c r="J3" s="7" t="s">
        <v>240</v>
      </c>
      <c r="K3" s="194"/>
      <c r="L3" s="7" t="s">
        <v>57</v>
      </c>
      <c r="M3" s="7" t="s">
        <v>240</v>
      </c>
      <c r="N3" s="194"/>
      <c r="P3" s="175" t="s">
        <v>296</v>
      </c>
      <c r="Q3" s="175" t="s">
        <v>297</v>
      </c>
      <c r="R3" s="175" t="s">
        <v>298</v>
      </c>
      <c r="S3" s="175" t="s">
        <v>179</v>
      </c>
    </row>
    <row r="4" spans="2:19" x14ac:dyDescent="0.25">
      <c r="B4">
        <v>75</v>
      </c>
      <c r="C4" s="163">
        <v>0.3</v>
      </c>
      <c r="D4" s="141">
        <f t="shared" ref="D4:D9" si="0">LOG10(C4)</f>
        <v>-0.52287874528033762</v>
      </c>
      <c r="F4" s="163">
        <v>1.7</v>
      </c>
      <c r="G4" s="141">
        <f t="shared" ref="G4:G9" si="1">LOG10(F4)</f>
        <v>0.23044892137827391</v>
      </c>
      <c r="I4" s="163">
        <v>5</v>
      </c>
      <c r="J4" s="141">
        <f t="shared" ref="J4:J9" si="2">LOG10(I4)</f>
        <v>0.69897000433601886</v>
      </c>
      <c r="K4" s="195"/>
      <c r="L4" s="163">
        <v>1.2</v>
      </c>
      <c r="M4" s="157">
        <f t="shared" ref="M4:M9" si="3">LOG10(L4)</f>
        <v>7.9181246047624818E-2</v>
      </c>
      <c r="N4" s="195"/>
      <c r="O4" s="201">
        <v>42118</v>
      </c>
      <c r="P4" s="206">
        <v>-0.52287874528033762</v>
      </c>
      <c r="Q4" s="207">
        <v>1.8976270912904414</v>
      </c>
      <c r="R4" s="207">
        <v>3.307496037913213</v>
      </c>
      <c r="S4" s="208">
        <v>3.8633228601204559</v>
      </c>
    </row>
    <row r="5" spans="2:19" x14ac:dyDescent="0.25">
      <c r="C5" s="164">
        <v>1</v>
      </c>
      <c r="D5" s="141">
        <f t="shared" si="0"/>
        <v>0</v>
      </c>
      <c r="F5" s="164">
        <v>1.3</v>
      </c>
      <c r="G5" s="141">
        <f t="shared" si="1"/>
        <v>0.11394335230683679</v>
      </c>
      <c r="I5" s="164">
        <v>1.8</v>
      </c>
      <c r="J5" s="141">
        <f t="shared" si="2"/>
        <v>0.25527250510330607</v>
      </c>
      <c r="K5" s="195"/>
      <c r="L5" s="164">
        <v>3</v>
      </c>
      <c r="M5" s="141">
        <f t="shared" si="3"/>
        <v>0.47712125471966244</v>
      </c>
      <c r="N5" s="195"/>
      <c r="P5" s="209">
        <v>0</v>
      </c>
      <c r="Q5" s="202">
        <v>1.9030899869919435</v>
      </c>
      <c r="R5" s="202">
        <v>3.2068258760318495</v>
      </c>
      <c r="S5" s="210">
        <v>4.0374264979406238</v>
      </c>
    </row>
    <row r="6" spans="2:19" x14ac:dyDescent="0.25">
      <c r="C6" s="164">
        <v>1</v>
      </c>
      <c r="D6" s="141">
        <f t="shared" si="0"/>
        <v>0</v>
      </c>
      <c r="F6" s="164">
        <v>2</v>
      </c>
      <c r="G6" s="141">
        <f t="shared" si="1"/>
        <v>0.3010299956639812</v>
      </c>
      <c r="I6" s="164">
        <v>7</v>
      </c>
      <c r="J6" s="141">
        <f t="shared" si="2"/>
        <v>0.84509804001425681</v>
      </c>
      <c r="K6" s="195"/>
      <c r="L6" s="164">
        <v>1</v>
      </c>
      <c r="M6" s="141">
        <f t="shared" si="3"/>
        <v>0</v>
      </c>
      <c r="N6" s="195"/>
      <c r="P6" s="209">
        <v>0</v>
      </c>
      <c r="Q6" s="202">
        <v>1.8129133566428555</v>
      </c>
      <c r="R6" s="202">
        <v>3.2855573090077739</v>
      </c>
      <c r="S6" s="210">
        <v>4.0466122090684458</v>
      </c>
    </row>
    <row r="7" spans="2:19" x14ac:dyDescent="0.25">
      <c r="C7" s="164">
        <v>0.2</v>
      </c>
      <c r="D7" s="141">
        <f t="shared" si="0"/>
        <v>-0.69897000433601875</v>
      </c>
      <c r="F7" s="164">
        <v>1</v>
      </c>
      <c r="G7" s="141">
        <f t="shared" si="1"/>
        <v>0</v>
      </c>
      <c r="I7" s="164">
        <v>2</v>
      </c>
      <c r="J7" s="141">
        <f t="shared" si="2"/>
        <v>0.3010299956639812</v>
      </c>
      <c r="K7" s="195"/>
      <c r="L7" s="164">
        <v>0.7</v>
      </c>
      <c r="M7" s="141">
        <f t="shared" si="3"/>
        <v>-0.15490195998574319</v>
      </c>
      <c r="N7" s="195"/>
      <c r="P7" s="209">
        <v>-0.69897000433601875</v>
      </c>
      <c r="Q7" s="202">
        <v>1.6989700043360187</v>
      </c>
      <c r="R7" s="202">
        <v>3.2833012287035497</v>
      </c>
      <c r="S7" s="210">
        <v>3.9731278535996988</v>
      </c>
    </row>
    <row r="8" spans="2:19" x14ac:dyDescent="0.25">
      <c r="C8" s="164">
        <v>2</v>
      </c>
      <c r="D8" s="141">
        <f t="shared" si="0"/>
        <v>0.3010299956639812</v>
      </c>
      <c r="F8" s="164">
        <v>1</v>
      </c>
      <c r="G8" s="141">
        <f t="shared" si="1"/>
        <v>0</v>
      </c>
      <c r="I8" s="164">
        <v>1.5</v>
      </c>
      <c r="J8" s="141">
        <f t="shared" si="2"/>
        <v>0.17609125905568124</v>
      </c>
      <c r="K8" s="195"/>
      <c r="L8" s="164">
        <v>0.3</v>
      </c>
      <c r="M8" s="141">
        <f t="shared" si="3"/>
        <v>-0.52287874528033762</v>
      </c>
      <c r="N8" s="195"/>
      <c r="P8" s="209">
        <v>0.3010299956639812</v>
      </c>
      <c r="Q8" s="202">
        <v>1.8976270912904414</v>
      </c>
      <c r="R8" s="202">
        <v>3.2966651902615309</v>
      </c>
      <c r="S8" s="210">
        <v>4.0374264979406238</v>
      </c>
    </row>
    <row r="9" spans="2:19" ht="15.75" thickBot="1" x14ac:dyDescent="0.3">
      <c r="C9" s="165">
        <v>0.44444444444444442</v>
      </c>
      <c r="D9" s="142">
        <f t="shared" si="0"/>
        <v>-0.35218251811136253</v>
      </c>
      <c r="F9" s="165">
        <v>2</v>
      </c>
      <c r="G9" s="142">
        <f t="shared" si="1"/>
        <v>0.3010299956639812</v>
      </c>
      <c r="I9" s="165">
        <v>2</v>
      </c>
      <c r="J9" s="142">
        <f t="shared" si="2"/>
        <v>0.3010299956639812</v>
      </c>
      <c r="K9" s="195"/>
      <c r="L9" s="165">
        <v>1</v>
      </c>
      <c r="M9" s="142">
        <f t="shared" si="3"/>
        <v>0</v>
      </c>
      <c r="N9" s="195"/>
      <c r="P9" s="211">
        <v>-0.35218251811136253</v>
      </c>
      <c r="Q9" s="212">
        <v>1.6720978579357175</v>
      </c>
      <c r="R9" s="212">
        <v>3.2900346113625178</v>
      </c>
      <c r="S9" s="213">
        <v>4.1673173347481764</v>
      </c>
    </row>
    <row r="10" spans="2:19" ht="15.75" thickBot="1" x14ac:dyDescent="0.3">
      <c r="C10" s="17"/>
      <c r="D10" s="17"/>
      <c r="F10" s="17"/>
      <c r="G10" s="17"/>
      <c r="I10" s="17"/>
      <c r="J10" s="17"/>
      <c r="K10" s="194"/>
      <c r="L10" s="35"/>
      <c r="M10" s="35"/>
      <c r="N10" s="194"/>
      <c r="O10" s="201">
        <v>42151</v>
      </c>
      <c r="P10" s="206">
        <v>0.23044892137827391</v>
      </c>
      <c r="Q10" s="207">
        <v>3.1367205671564067</v>
      </c>
      <c r="R10" s="207">
        <v>4.5797835966168101</v>
      </c>
      <c r="S10" s="208">
        <v>5.4031205211758175</v>
      </c>
    </row>
    <row r="11" spans="2:19" ht="15.75" thickBot="1" x14ac:dyDescent="0.3">
      <c r="C11" s="7"/>
      <c r="D11" s="7"/>
      <c r="F11" s="7"/>
      <c r="G11" s="7"/>
      <c r="I11" s="7"/>
      <c r="J11" s="7"/>
      <c r="K11" s="194"/>
      <c r="L11" s="35"/>
      <c r="M11" s="35"/>
      <c r="N11" s="194"/>
      <c r="P11" s="209">
        <v>0.11394335230683679</v>
      </c>
      <c r="Q11" s="202">
        <v>2.9138138523837167</v>
      </c>
      <c r="R11" s="202">
        <v>4.7075701760979367</v>
      </c>
      <c r="S11" s="210">
        <v>5.424881636631067</v>
      </c>
    </row>
    <row r="12" spans="2:19" x14ac:dyDescent="0.25">
      <c r="B12">
        <v>72</v>
      </c>
      <c r="C12" s="11">
        <v>79</v>
      </c>
      <c r="D12" s="141">
        <f t="shared" ref="D12:D17" si="4">LOG10(C12)</f>
        <v>1.8976270912904414</v>
      </c>
      <c r="F12" s="11">
        <v>1370</v>
      </c>
      <c r="G12" s="141">
        <f t="shared" ref="G12:G17" si="5">LOG10(F12)</f>
        <v>3.1367205671564067</v>
      </c>
      <c r="I12" s="11">
        <v>1110</v>
      </c>
      <c r="J12" s="141">
        <f t="shared" ref="J12:J17" si="6">LOG10(I12)</f>
        <v>3.0453229787866576</v>
      </c>
      <c r="K12" s="195"/>
      <c r="L12" s="235">
        <v>920</v>
      </c>
      <c r="M12" s="157">
        <f t="shared" ref="M12:M17" si="7">LOG10(L12)</f>
        <v>2.9637878273455551</v>
      </c>
      <c r="N12" s="195"/>
      <c r="P12" s="209">
        <v>0.3010299956639812</v>
      </c>
      <c r="Q12" s="202">
        <v>3.0934216851622351</v>
      </c>
      <c r="R12" s="202">
        <v>4.7242758696007892</v>
      </c>
      <c r="S12" s="210">
        <v>5.4216039268698308</v>
      </c>
    </row>
    <row r="13" spans="2:19" x14ac:dyDescent="0.25">
      <c r="C13" s="11">
        <v>80</v>
      </c>
      <c r="D13" s="141">
        <f t="shared" si="4"/>
        <v>1.9030899869919435</v>
      </c>
      <c r="F13" s="11">
        <v>820</v>
      </c>
      <c r="G13" s="141">
        <f t="shared" si="5"/>
        <v>2.9138138523837167</v>
      </c>
      <c r="I13" s="11">
        <v>1210</v>
      </c>
      <c r="J13" s="141">
        <f t="shared" si="6"/>
        <v>3.0827853703164503</v>
      </c>
      <c r="K13" s="195"/>
      <c r="L13" s="228">
        <v>1150</v>
      </c>
      <c r="M13" s="141">
        <f t="shared" si="7"/>
        <v>3.0606978403536118</v>
      </c>
      <c r="N13" s="195"/>
      <c r="P13" s="209">
        <v>0</v>
      </c>
      <c r="Q13" s="202">
        <v>2.9822712330395684</v>
      </c>
      <c r="R13" s="202">
        <v>4.5797835966168101</v>
      </c>
      <c r="S13" s="210">
        <v>5.4313637641589869</v>
      </c>
    </row>
    <row r="14" spans="2:19" x14ac:dyDescent="0.25">
      <c r="C14" s="11">
        <v>65</v>
      </c>
      <c r="D14" s="141">
        <f t="shared" si="4"/>
        <v>1.8129133566428555</v>
      </c>
      <c r="F14" s="11">
        <v>1240</v>
      </c>
      <c r="G14" s="141">
        <f t="shared" si="5"/>
        <v>3.0934216851622351</v>
      </c>
      <c r="I14" s="11">
        <v>1190</v>
      </c>
      <c r="J14" s="141">
        <f t="shared" si="6"/>
        <v>3.0755469613925306</v>
      </c>
      <c r="K14" s="195"/>
      <c r="L14" s="228">
        <v>950</v>
      </c>
      <c r="M14" s="141">
        <f t="shared" si="7"/>
        <v>2.9777236052888476</v>
      </c>
      <c r="N14" s="195"/>
      <c r="P14" s="209">
        <v>0</v>
      </c>
      <c r="Q14" s="202">
        <v>2.6812412373755872</v>
      </c>
      <c r="R14" s="202">
        <v>4.6334684555795862</v>
      </c>
      <c r="S14" s="210">
        <v>5.4297522800024076</v>
      </c>
    </row>
    <row r="15" spans="2:19" ht="15.75" thickBot="1" x14ac:dyDescent="0.3">
      <c r="C15" s="11">
        <v>50</v>
      </c>
      <c r="D15" s="141">
        <f t="shared" si="4"/>
        <v>1.6989700043360187</v>
      </c>
      <c r="F15" s="11">
        <v>960</v>
      </c>
      <c r="G15" s="141">
        <f t="shared" si="5"/>
        <v>2.9822712330395684</v>
      </c>
      <c r="I15" s="11">
        <v>1380</v>
      </c>
      <c r="J15" s="141">
        <f t="shared" si="6"/>
        <v>3.1398790864012365</v>
      </c>
      <c r="K15" s="195"/>
      <c r="L15" s="228">
        <v>1030</v>
      </c>
      <c r="M15" s="141">
        <f t="shared" si="7"/>
        <v>3.012837224705172</v>
      </c>
      <c r="N15" s="195"/>
      <c r="P15" s="211">
        <v>0.3010299956639812</v>
      </c>
      <c r="Q15" s="212">
        <v>2.9777236052888476</v>
      </c>
      <c r="R15" s="212">
        <v>4.3222192947339195</v>
      </c>
      <c r="S15" s="213">
        <v>5.4927603890268379</v>
      </c>
    </row>
    <row r="16" spans="2:19" x14ac:dyDescent="0.25">
      <c r="C16" s="11">
        <v>79</v>
      </c>
      <c r="D16" s="141">
        <f t="shared" si="4"/>
        <v>1.8976270912904414</v>
      </c>
      <c r="F16" s="11">
        <v>480</v>
      </c>
      <c r="G16" s="141">
        <f t="shared" si="5"/>
        <v>2.6812412373755872</v>
      </c>
      <c r="I16" s="11">
        <v>1300</v>
      </c>
      <c r="J16" s="141">
        <f t="shared" si="6"/>
        <v>3.1139433523068369</v>
      </c>
      <c r="K16" s="195"/>
      <c r="L16" s="228">
        <v>1020</v>
      </c>
      <c r="M16" s="141">
        <f t="shared" si="7"/>
        <v>3.0086001717619175</v>
      </c>
      <c r="N16" s="195"/>
      <c r="O16" s="201">
        <v>42157</v>
      </c>
      <c r="P16" s="206">
        <v>0.69897000433601886</v>
      </c>
      <c r="Q16" s="207">
        <v>3.0453229787866576</v>
      </c>
      <c r="R16" s="207">
        <v>4.3710678622717358</v>
      </c>
      <c r="S16" s="208">
        <v>5.3909351071033793</v>
      </c>
    </row>
    <row r="17" spans="2:20" ht="15.75" thickBot="1" x14ac:dyDescent="0.3">
      <c r="C17" s="15">
        <v>47</v>
      </c>
      <c r="D17" s="142">
        <f t="shared" si="4"/>
        <v>1.6720978579357175</v>
      </c>
      <c r="F17" s="15">
        <v>950</v>
      </c>
      <c r="G17" s="142">
        <f t="shared" si="5"/>
        <v>2.9777236052888476</v>
      </c>
      <c r="I17" s="15">
        <v>1530</v>
      </c>
      <c r="J17" s="142">
        <f t="shared" si="6"/>
        <v>3.1846914308175989</v>
      </c>
      <c r="K17" s="195"/>
      <c r="L17" s="229">
        <v>1170</v>
      </c>
      <c r="M17" s="142">
        <f t="shared" si="7"/>
        <v>3.0681858617461617</v>
      </c>
      <c r="N17" s="195"/>
      <c r="P17" s="209">
        <v>0.25527250510330607</v>
      </c>
      <c r="Q17" s="202">
        <v>3.0827853703164503</v>
      </c>
      <c r="R17" s="202">
        <v>4.426511261364575</v>
      </c>
      <c r="S17" s="210">
        <v>5.4345689040341991</v>
      </c>
    </row>
    <row r="18" spans="2:20" ht="15.75" thickBot="1" x14ac:dyDescent="0.3">
      <c r="C18" s="17"/>
      <c r="D18" s="17"/>
      <c r="F18" s="17"/>
      <c r="G18" s="17"/>
      <c r="I18" s="17"/>
      <c r="J18" s="17"/>
      <c r="K18" s="194"/>
      <c r="L18" s="35"/>
      <c r="M18" s="35"/>
      <c r="N18" s="194"/>
      <c r="P18" s="209">
        <v>0.84509804001425681</v>
      </c>
      <c r="Q18" s="202">
        <v>3.0755469613925306</v>
      </c>
      <c r="R18" s="202">
        <v>4.3710678622717358</v>
      </c>
      <c r="S18" s="210">
        <v>5.4377505628203879</v>
      </c>
    </row>
    <row r="19" spans="2:20" ht="15.75" thickBot="1" x14ac:dyDescent="0.3">
      <c r="C19" s="7"/>
      <c r="D19" s="7"/>
      <c r="F19" s="7"/>
      <c r="G19" s="7"/>
      <c r="I19" s="7"/>
      <c r="J19" s="7"/>
      <c r="K19" s="194"/>
      <c r="L19" s="35"/>
      <c r="M19" s="35"/>
      <c r="N19" s="194"/>
      <c r="P19" s="209">
        <v>0.3010299956639812</v>
      </c>
      <c r="Q19" s="202">
        <v>3.1398790864012365</v>
      </c>
      <c r="R19" s="202">
        <v>4.4345689040341991</v>
      </c>
      <c r="S19" s="210">
        <v>5.394451680826216</v>
      </c>
    </row>
    <row r="20" spans="2:20" x14ac:dyDescent="0.25">
      <c r="B20">
        <v>69</v>
      </c>
      <c r="C20" s="11">
        <v>2030</v>
      </c>
      <c r="D20" s="141">
        <f t="shared" ref="D20:D25" si="8">LOG10(C20)</f>
        <v>3.307496037913213</v>
      </c>
      <c r="F20" s="11">
        <v>38000</v>
      </c>
      <c r="G20" s="141">
        <f t="shared" ref="G20:G25" si="9">LOG10(F20)</f>
        <v>4.5797835966168101</v>
      </c>
      <c r="I20" s="11">
        <v>23500</v>
      </c>
      <c r="J20" s="141">
        <f t="shared" ref="J20:J25" si="10">LOG10(I20)</f>
        <v>4.3710678622717358</v>
      </c>
      <c r="K20" s="195"/>
      <c r="L20" s="228">
        <v>29700</v>
      </c>
      <c r="M20" s="157">
        <f t="shared" ref="M20:M25" si="11">LOG10(L20)</f>
        <v>4.4727564493172123</v>
      </c>
      <c r="N20" s="195"/>
      <c r="P20" s="209">
        <v>0.17609125905568124</v>
      </c>
      <c r="Q20" s="202">
        <v>3.1139433523068369</v>
      </c>
      <c r="R20" s="202">
        <v>4.3891660843645326</v>
      </c>
      <c r="S20" s="210">
        <v>5.4345689040341991</v>
      </c>
    </row>
    <row r="21" spans="2:20" ht="15.75" thickBot="1" x14ac:dyDescent="0.3">
      <c r="C21" s="11">
        <v>1610</v>
      </c>
      <c r="D21" s="141">
        <f t="shared" si="8"/>
        <v>3.2068258760318495</v>
      </c>
      <c r="F21" s="11">
        <v>51000</v>
      </c>
      <c r="G21" s="141">
        <f t="shared" si="9"/>
        <v>4.7075701760979367</v>
      </c>
      <c r="I21" s="11">
        <v>26700</v>
      </c>
      <c r="J21" s="141">
        <f t="shared" si="10"/>
        <v>4.426511261364575</v>
      </c>
      <c r="K21" s="195"/>
      <c r="L21" s="228">
        <v>27600</v>
      </c>
      <c r="M21" s="141">
        <f t="shared" si="11"/>
        <v>4.4409090820652173</v>
      </c>
      <c r="N21" s="195"/>
      <c r="P21" s="211">
        <v>0.3010299956639812</v>
      </c>
      <c r="Q21" s="212">
        <v>3.1846914308175989</v>
      </c>
      <c r="R21" s="212">
        <v>4.4281347940287885</v>
      </c>
      <c r="S21" s="213">
        <v>5.4424797690644482</v>
      </c>
    </row>
    <row r="22" spans="2:20" ht="15.75" thickBot="1" x14ac:dyDescent="0.3">
      <c r="C22" s="11">
        <v>1930</v>
      </c>
      <c r="D22" s="141">
        <f t="shared" si="8"/>
        <v>3.2855573090077739</v>
      </c>
      <c r="F22" s="11">
        <v>53000</v>
      </c>
      <c r="G22" s="141">
        <f t="shared" si="9"/>
        <v>4.7242758696007892</v>
      </c>
      <c r="I22" s="11">
        <v>23500</v>
      </c>
      <c r="J22" s="141">
        <f t="shared" si="10"/>
        <v>4.3710678622717358</v>
      </c>
      <c r="K22" s="195"/>
      <c r="L22" s="228">
        <v>26500</v>
      </c>
      <c r="M22" s="141">
        <f t="shared" si="11"/>
        <v>4.4232458739368079</v>
      </c>
      <c r="N22" s="195"/>
      <c r="O22" s="201">
        <v>42178</v>
      </c>
      <c r="P22" s="236">
        <f>M4</f>
        <v>7.9181246047624818E-2</v>
      </c>
      <c r="Q22" s="207">
        <f>M12</f>
        <v>2.9637878273455551</v>
      </c>
      <c r="R22" s="207">
        <f>M20</f>
        <v>4.4727564493172123</v>
      </c>
      <c r="S22" s="238">
        <f>M36</f>
        <v>5.4742162640762553</v>
      </c>
    </row>
    <row r="23" spans="2:20" ht="15.75" thickBot="1" x14ac:dyDescent="0.3">
      <c r="C23" s="11">
        <v>1920</v>
      </c>
      <c r="D23" s="141">
        <f t="shared" si="8"/>
        <v>3.2833012287035497</v>
      </c>
      <c r="F23" s="11">
        <v>38000</v>
      </c>
      <c r="G23" s="141">
        <f t="shared" si="9"/>
        <v>4.5797835966168101</v>
      </c>
      <c r="I23" s="11">
        <v>27200</v>
      </c>
      <c r="J23" s="141">
        <f t="shared" si="10"/>
        <v>4.4345689040341991</v>
      </c>
      <c r="K23" s="195"/>
      <c r="L23" s="228">
        <v>26100</v>
      </c>
      <c r="M23" s="141">
        <f t="shared" si="11"/>
        <v>4.4166405073382808</v>
      </c>
      <c r="N23" s="195"/>
      <c r="P23" s="175">
        <f t="shared" ref="P23:P27" si="12">M5</f>
        <v>0.47712125471966244</v>
      </c>
      <c r="Q23" s="202">
        <f t="shared" ref="Q23:Q27" si="13">M13</f>
        <v>3.0606978403536118</v>
      </c>
      <c r="R23" s="202">
        <f t="shared" ref="R23:R27" si="14">M21</f>
        <v>4.4409090820652173</v>
      </c>
      <c r="S23" s="238">
        <f t="shared" ref="S23:S27" si="15">M37</f>
        <v>5.4149733479708182</v>
      </c>
    </row>
    <row r="24" spans="2:20" ht="15.75" thickBot="1" x14ac:dyDescent="0.3">
      <c r="C24" s="11">
        <v>1980</v>
      </c>
      <c r="D24" s="141">
        <f t="shared" si="8"/>
        <v>3.2966651902615309</v>
      </c>
      <c r="F24" s="11">
        <v>43000</v>
      </c>
      <c r="G24" s="141">
        <f t="shared" si="9"/>
        <v>4.6334684555795862</v>
      </c>
      <c r="I24" s="11">
        <v>24500</v>
      </c>
      <c r="J24" s="141">
        <f t="shared" si="10"/>
        <v>4.3891660843645326</v>
      </c>
      <c r="K24" s="195"/>
      <c r="L24" s="228">
        <v>28900</v>
      </c>
      <c r="M24" s="141">
        <f t="shared" si="11"/>
        <v>4.4608978427565482</v>
      </c>
      <c r="N24" s="195"/>
      <c r="P24" s="175">
        <f t="shared" si="12"/>
        <v>0</v>
      </c>
      <c r="Q24" s="202">
        <f t="shared" si="13"/>
        <v>2.9777236052888476</v>
      </c>
      <c r="R24" s="202">
        <f t="shared" si="14"/>
        <v>4.4232458739368079</v>
      </c>
      <c r="S24" s="238">
        <f t="shared" si="15"/>
        <v>5.4658783386463776</v>
      </c>
    </row>
    <row r="25" spans="2:20" ht="15.75" thickBot="1" x14ac:dyDescent="0.3">
      <c r="C25" s="15">
        <v>1950</v>
      </c>
      <c r="D25" s="142">
        <f t="shared" si="8"/>
        <v>3.2900346113625178</v>
      </c>
      <c r="F25" s="15">
        <v>21000</v>
      </c>
      <c r="G25" s="142">
        <f t="shared" si="9"/>
        <v>4.3222192947339195</v>
      </c>
      <c r="I25" s="15">
        <v>26800</v>
      </c>
      <c r="J25" s="142">
        <f t="shared" si="10"/>
        <v>4.4281347940287885</v>
      </c>
      <c r="K25" s="195"/>
      <c r="L25" s="229">
        <v>31300</v>
      </c>
      <c r="M25" s="142">
        <f t="shared" si="11"/>
        <v>4.4955443375464483</v>
      </c>
      <c r="N25" s="195"/>
      <c r="P25" s="175">
        <f t="shared" si="12"/>
        <v>-0.15490195998574319</v>
      </c>
      <c r="Q25" s="202">
        <f t="shared" si="13"/>
        <v>3.012837224705172</v>
      </c>
      <c r="R25" s="202">
        <f t="shared" si="14"/>
        <v>4.4166405073382808</v>
      </c>
      <c r="S25" s="238">
        <f t="shared" si="15"/>
        <v>5.4593924877592306</v>
      </c>
    </row>
    <row r="26" spans="2:20" ht="15.75" thickBot="1" x14ac:dyDescent="0.3">
      <c r="C26" s="17"/>
      <c r="D26" s="17"/>
      <c r="F26" s="7"/>
      <c r="G26" s="7"/>
      <c r="I26" s="7"/>
      <c r="J26" s="7"/>
      <c r="K26" s="194"/>
      <c r="L26" s="194"/>
      <c r="M26" s="194"/>
      <c r="N26" s="194"/>
      <c r="P26" s="175">
        <f t="shared" si="12"/>
        <v>-0.52287874528033762</v>
      </c>
      <c r="Q26" s="202">
        <f t="shared" si="13"/>
        <v>3.0086001717619175</v>
      </c>
      <c r="R26" s="202">
        <f t="shared" si="14"/>
        <v>4.4608978427565482</v>
      </c>
      <c r="S26" s="238">
        <f t="shared" si="15"/>
        <v>5.453318340047038</v>
      </c>
    </row>
    <row r="27" spans="2:20" ht="15.75" thickBot="1" x14ac:dyDescent="0.3">
      <c r="C27" s="7" t="s">
        <v>57</v>
      </c>
      <c r="D27" s="7" t="s">
        <v>240</v>
      </c>
      <c r="P27" s="237">
        <f t="shared" si="12"/>
        <v>0</v>
      </c>
      <c r="Q27" s="212">
        <f t="shared" si="13"/>
        <v>3.0681858617461617</v>
      </c>
      <c r="R27" s="212">
        <f t="shared" si="14"/>
        <v>4.4955443375464483</v>
      </c>
      <c r="S27" s="238">
        <f t="shared" si="15"/>
        <v>5.4683473304121577</v>
      </c>
    </row>
    <row r="28" spans="2:20" ht="15.75" thickBot="1" x14ac:dyDescent="0.3">
      <c r="B28">
        <v>66</v>
      </c>
      <c r="C28" s="11">
        <v>2800</v>
      </c>
      <c r="D28" s="141">
        <f t="shared" ref="D28:D33" si="16">LOG10(C28)</f>
        <v>3.4471580313422194</v>
      </c>
    </row>
    <row r="29" spans="2:20" x14ac:dyDescent="0.25">
      <c r="C29" s="11">
        <v>2100</v>
      </c>
      <c r="D29" s="141">
        <f t="shared" si="16"/>
        <v>3.3222192947339191</v>
      </c>
      <c r="O29" s="90" t="s">
        <v>303</v>
      </c>
      <c r="P29" s="190">
        <f>AVERAGE(P4:P27)</f>
        <v>8.8727691178656976E-2</v>
      </c>
      <c r="Q29" s="191">
        <f t="shared" ref="Q29:S29" si="17">AVERAGE(Q4:Q27)</f>
        <v>2.7250633033381817</v>
      </c>
      <c r="R29" s="191">
        <f t="shared" si="17"/>
        <v>4.1811455043259329</v>
      </c>
      <c r="S29" s="184">
        <f t="shared" si="17"/>
        <v>5.0833165336699038</v>
      </c>
      <c r="T29" s="4"/>
    </row>
    <row r="30" spans="2:20" x14ac:dyDescent="0.25">
      <c r="C30" s="11">
        <v>1500</v>
      </c>
      <c r="D30" s="141">
        <f t="shared" si="16"/>
        <v>3.1760912590556813</v>
      </c>
      <c r="O30" s="91" t="s">
        <v>239</v>
      </c>
      <c r="P30" s="192">
        <f>_xlfn.STDEV.S(P4:P27)</f>
        <v>0.3639439452629003</v>
      </c>
      <c r="Q30" s="136">
        <f>_xlfn.STDEV.S(Q4:Q27)</f>
        <v>0.54826199007161291</v>
      </c>
      <c r="R30" s="136">
        <f>_xlfn.STDEV.S(R4:R27)</f>
        <v>0.54198196587315517</v>
      </c>
      <c r="S30" s="127">
        <f>_xlfn.STDEV.S(S4:S27)</f>
        <v>0.62877424983827113</v>
      </c>
      <c r="T30" s="4"/>
    </row>
    <row r="31" spans="2:20" ht="24" thickBot="1" x14ac:dyDescent="0.4">
      <c r="C31" s="11">
        <v>1600</v>
      </c>
      <c r="D31" s="141">
        <f t="shared" si="16"/>
        <v>3.2041199826559246</v>
      </c>
      <c r="O31" s="198" t="s">
        <v>302</v>
      </c>
      <c r="P31" s="199">
        <f>S29-P29</f>
        <v>4.9945888424912468</v>
      </c>
      <c r="Q31" s="200">
        <f>S29-Q29</f>
        <v>2.3582532303317221</v>
      </c>
      <c r="R31" s="200">
        <f>S29-R29</f>
        <v>0.90217102934397086</v>
      </c>
      <c r="S31" s="94"/>
    </row>
    <row r="32" spans="2:20" ht="15.75" thickBot="1" x14ac:dyDescent="0.3">
      <c r="C32" s="11">
        <v>1000</v>
      </c>
      <c r="D32" s="141">
        <f t="shared" si="16"/>
        <v>3</v>
      </c>
    </row>
    <row r="33" spans="2:19" ht="15.75" thickBot="1" x14ac:dyDescent="0.3">
      <c r="C33" s="15">
        <v>1400</v>
      </c>
      <c r="D33" s="142">
        <f t="shared" si="16"/>
        <v>3.1461280356782382</v>
      </c>
      <c r="O33" s="90" t="s">
        <v>300</v>
      </c>
      <c r="P33" s="190">
        <f>_xlfn.PERCENTILE.INC(P4:P27,0.95)</f>
        <v>0.66569269189356495</v>
      </c>
      <c r="Q33" s="191">
        <f>_xlfn.PERCENTILE.INC(Q4:Q27,0.95)</f>
        <v>3.1394053085145122</v>
      </c>
      <c r="R33" s="191">
        <f>_xlfn.PERCENTILE.INC(R4:R27,0.95)</f>
        <v>4.6964549180201836</v>
      </c>
      <c r="S33" s="92"/>
    </row>
    <row r="34" spans="2:19" ht="15.75" thickBot="1" x14ac:dyDescent="0.3">
      <c r="C34" s="25"/>
      <c r="D34" s="25"/>
      <c r="F34" s="25"/>
      <c r="G34" s="25"/>
      <c r="I34" s="25"/>
      <c r="J34" s="193"/>
      <c r="K34" s="175"/>
      <c r="L34" s="25"/>
      <c r="M34" s="193"/>
      <c r="N34" s="175"/>
      <c r="O34" s="91" t="s">
        <v>299</v>
      </c>
      <c r="P34" s="192"/>
      <c r="Q34" s="136"/>
      <c r="R34" s="136"/>
      <c r="S34" s="127">
        <f>_xlfn.PERCENTILE.INC(S4:S27,0.05)</f>
        <v>3.9827726502508374</v>
      </c>
    </row>
    <row r="35" spans="2:19" ht="24" thickBot="1" x14ac:dyDescent="0.4">
      <c r="C35" s="7" t="s">
        <v>57</v>
      </c>
      <c r="D35" s="7" t="s">
        <v>240</v>
      </c>
      <c r="F35" s="7"/>
      <c r="G35" s="7" t="s">
        <v>240</v>
      </c>
      <c r="I35" s="7"/>
      <c r="J35" s="7" t="s">
        <v>240</v>
      </c>
      <c r="K35" s="194"/>
      <c r="L35" s="7"/>
      <c r="M35" s="7" t="s">
        <v>240</v>
      </c>
      <c r="N35" s="194"/>
      <c r="O35" s="198" t="s">
        <v>301</v>
      </c>
      <c r="P35" s="199">
        <f>S34-P33</f>
        <v>3.3170799583572723</v>
      </c>
      <c r="Q35" s="200">
        <f>S34-Q33</f>
        <v>0.84336734173632522</v>
      </c>
      <c r="R35" s="200">
        <f>S34-R33</f>
        <v>-0.71368226776934618</v>
      </c>
      <c r="S35" s="196"/>
    </row>
    <row r="36" spans="2:19" x14ac:dyDescent="0.25">
      <c r="B36" t="s">
        <v>179</v>
      </c>
      <c r="C36" s="12">
        <v>7300</v>
      </c>
      <c r="D36" s="141">
        <f t="shared" ref="D36:D41" si="18">LOG10(C36)</f>
        <v>3.8633228601204559</v>
      </c>
      <c r="F36" s="11">
        <v>253000</v>
      </c>
      <c r="G36" s="141">
        <f t="shared" ref="G36:G41" si="19">LOG10(F36)</f>
        <v>5.4031205211758175</v>
      </c>
      <c r="I36" s="11">
        <v>246000</v>
      </c>
      <c r="J36" s="141">
        <f t="shared" ref="J36:J41" si="20">LOG10(I36)</f>
        <v>5.3909351071033793</v>
      </c>
      <c r="K36" s="195"/>
      <c r="L36" s="228">
        <v>298000</v>
      </c>
      <c r="M36" s="179">
        <f t="shared" ref="M36:M41" si="21">LOG10(L36)</f>
        <v>5.4742162640762553</v>
      </c>
      <c r="N36" s="195"/>
    </row>
    <row r="37" spans="2:19" x14ac:dyDescent="0.25">
      <c r="C37" s="11">
        <v>10900</v>
      </c>
      <c r="D37" s="141">
        <f t="shared" si="18"/>
        <v>4.0374264979406238</v>
      </c>
      <c r="F37" s="11">
        <v>266000</v>
      </c>
      <c r="G37" s="141">
        <f t="shared" si="19"/>
        <v>5.424881636631067</v>
      </c>
      <c r="I37" s="11">
        <v>272000</v>
      </c>
      <c r="J37" s="141">
        <f t="shared" si="20"/>
        <v>5.4345689040341991</v>
      </c>
      <c r="K37" s="195"/>
      <c r="L37" s="228">
        <v>260000</v>
      </c>
      <c r="M37" s="179">
        <f t="shared" si="21"/>
        <v>5.4149733479708182</v>
      </c>
      <c r="N37" s="195"/>
    </row>
    <row r="38" spans="2:19" x14ac:dyDescent="0.25">
      <c r="C38" s="11">
        <v>11133</v>
      </c>
      <c r="D38" s="141">
        <f t="shared" si="18"/>
        <v>4.0466122090684458</v>
      </c>
      <c r="F38" s="11">
        <v>264000</v>
      </c>
      <c r="G38" s="141">
        <f t="shared" si="19"/>
        <v>5.4216039268698308</v>
      </c>
      <c r="I38" s="11">
        <v>274000</v>
      </c>
      <c r="J38" s="141">
        <f t="shared" si="20"/>
        <v>5.4377505628203879</v>
      </c>
      <c r="K38" s="195"/>
      <c r="L38" s="231">
        <v>292333.33333333331</v>
      </c>
      <c r="M38" s="179">
        <f t="shared" si="21"/>
        <v>5.4658783386463776</v>
      </c>
      <c r="N38" s="195"/>
    </row>
    <row r="39" spans="2:19" x14ac:dyDescent="0.25">
      <c r="C39" s="11">
        <v>9400</v>
      </c>
      <c r="D39" s="141">
        <f t="shared" si="18"/>
        <v>3.9731278535996988</v>
      </c>
      <c r="F39" s="11">
        <v>270000</v>
      </c>
      <c r="G39" s="141">
        <f t="shared" si="19"/>
        <v>5.4313637641589869</v>
      </c>
      <c r="I39" s="11">
        <v>248000</v>
      </c>
      <c r="J39" s="141">
        <f t="shared" si="20"/>
        <v>5.394451680826216</v>
      </c>
      <c r="K39" s="195"/>
      <c r="L39" s="228">
        <v>288000</v>
      </c>
      <c r="M39" s="179">
        <f t="shared" si="21"/>
        <v>5.4593924877592306</v>
      </c>
      <c r="N39" s="195"/>
    </row>
    <row r="40" spans="2:19" x14ac:dyDescent="0.25">
      <c r="C40" s="11">
        <v>10900</v>
      </c>
      <c r="D40" s="141">
        <f t="shared" si="18"/>
        <v>4.0374264979406238</v>
      </c>
      <c r="F40" s="11">
        <v>269000</v>
      </c>
      <c r="G40" s="141">
        <f t="shared" si="19"/>
        <v>5.4297522800024076</v>
      </c>
      <c r="I40" s="11">
        <v>272000</v>
      </c>
      <c r="J40" s="141">
        <f t="shared" si="20"/>
        <v>5.4345689040341991</v>
      </c>
      <c r="K40" s="195"/>
      <c r="L40" s="228">
        <v>284000</v>
      </c>
      <c r="M40" s="179">
        <f t="shared" si="21"/>
        <v>5.453318340047038</v>
      </c>
      <c r="N40" s="195"/>
    </row>
    <row r="41" spans="2:19" ht="15.75" thickBot="1" x14ac:dyDescent="0.3">
      <c r="C41" s="15">
        <v>14700</v>
      </c>
      <c r="D41" s="142">
        <f t="shared" si="18"/>
        <v>4.1673173347481764</v>
      </c>
      <c r="F41" s="15">
        <v>311000</v>
      </c>
      <c r="G41" s="142">
        <f t="shared" si="19"/>
        <v>5.4927603890268379</v>
      </c>
      <c r="I41" s="15">
        <v>277000</v>
      </c>
      <c r="J41" s="142">
        <f t="shared" si="20"/>
        <v>5.4424797690644482</v>
      </c>
      <c r="K41" s="195"/>
      <c r="L41" s="229">
        <v>294000</v>
      </c>
      <c r="M41" s="183">
        <f t="shared" si="21"/>
        <v>5.4683473304121577</v>
      </c>
      <c r="N41" s="195"/>
    </row>
    <row r="42" spans="2:19" x14ac:dyDescent="0.25">
      <c r="C42" s="4"/>
      <c r="D42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zoomScaleNormal="100" workbookViewId="0"/>
  </sheetViews>
  <sheetFormatPr defaultRowHeight="15" x14ac:dyDescent="0.25"/>
  <cols>
    <col min="2" max="2" width="13.28515625" style="2" customWidth="1"/>
    <col min="3" max="3" width="15.5703125" style="2" customWidth="1"/>
    <col min="4" max="4" width="15.28515625" style="2" customWidth="1"/>
    <col min="5" max="5" width="9.140625" style="2"/>
    <col min="6" max="6" width="51.5703125" style="2" customWidth="1"/>
    <col min="7" max="7" width="26.28515625" style="4" customWidth="1"/>
    <col min="13" max="13" width="28.85546875" customWidth="1"/>
  </cols>
  <sheetData>
    <row r="1" spans="1:14" ht="15.75" thickBot="1" x14ac:dyDescent="0.3">
      <c r="A1" s="33"/>
      <c r="I1" t="s">
        <v>187</v>
      </c>
      <c r="N1" t="s">
        <v>323</v>
      </c>
    </row>
    <row r="2" spans="1:14" ht="23.25" x14ac:dyDescent="0.25">
      <c r="A2" s="33"/>
      <c r="B2" s="81" t="s">
        <v>186</v>
      </c>
      <c r="I2" s="77" t="s">
        <v>183</v>
      </c>
      <c r="J2" s="53"/>
      <c r="K2" s="53"/>
      <c r="L2" s="53"/>
      <c r="M2" s="53"/>
      <c r="N2" s="45">
        <v>18</v>
      </c>
    </row>
    <row r="3" spans="1:14" ht="15.75" thickBot="1" x14ac:dyDescent="0.3">
      <c r="A3" s="33"/>
      <c r="I3" s="78" t="s">
        <v>184</v>
      </c>
      <c r="J3" s="79"/>
      <c r="K3" s="79"/>
      <c r="L3" s="79"/>
      <c r="M3" s="79"/>
      <c r="N3" s="80">
        <f>N2* (1063/355)</f>
        <v>53.898591549295773</v>
      </c>
    </row>
    <row r="4" spans="1:14" ht="15.75" thickBot="1" x14ac:dyDescent="0.3">
      <c r="A4" s="33"/>
      <c r="B4" s="83" t="s">
        <v>0</v>
      </c>
      <c r="C4" s="82" t="s">
        <v>180</v>
      </c>
      <c r="D4" s="83" t="s">
        <v>2</v>
      </c>
      <c r="E4" s="239" t="s">
        <v>181</v>
      </c>
      <c r="F4" s="83" t="s">
        <v>182</v>
      </c>
      <c r="G4" s="83" t="s">
        <v>188</v>
      </c>
      <c r="I4" s="55" t="s">
        <v>185</v>
      </c>
      <c r="J4" s="56"/>
      <c r="K4" s="56"/>
      <c r="L4" s="56"/>
      <c r="M4" s="56"/>
      <c r="N4" s="49">
        <v>195</v>
      </c>
    </row>
    <row r="5" spans="1:14" x14ac:dyDescent="0.25">
      <c r="A5" s="33"/>
      <c r="B5" s="261">
        <v>42115</v>
      </c>
      <c r="C5" s="262" t="s">
        <v>50</v>
      </c>
      <c r="D5" s="263" t="s">
        <v>190</v>
      </c>
      <c r="E5" s="262" t="s">
        <v>192</v>
      </c>
      <c r="F5" s="264">
        <v>0</v>
      </c>
      <c r="G5" s="45"/>
    </row>
    <row r="6" spans="1:14" x14ac:dyDescent="0.25">
      <c r="A6" s="33"/>
      <c r="B6" s="265"/>
      <c r="C6" s="266"/>
      <c r="D6" s="265"/>
      <c r="E6" s="266"/>
      <c r="F6" s="267">
        <f>F5+10</f>
        <v>10</v>
      </c>
      <c r="G6" s="101"/>
    </row>
    <row r="7" spans="1:14" x14ac:dyDescent="0.25">
      <c r="A7" s="33"/>
      <c r="B7" s="265"/>
      <c r="C7" s="266"/>
      <c r="D7" s="265"/>
      <c r="E7" s="266"/>
      <c r="F7" s="267">
        <f t="shared" ref="F7:F16" si="0">F6+10</f>
        <v>20</v>
      </c>
      <c r="G7" s="101"/>
    </row>
    <row r="8" spans="1:14" x14ac:dyDescent="0.25">
      <c r="A8" s="33"/>
      <c r="B8" s="265"/>
      <c r="C8" s="266"/>
      <c r="D8" s="265"/>
      <c r="E8" s="266"/>
      <c r="F8" s="267">
        <f t="shared" si="0"/>
        <v>30</v>
      </c>
      <c r="G8" s="101"/>
    </row>
    <row r="9" spans="1:14" x14ac:dyDescent="0.25">
      <c r="A9" s="33"/>
      <c r="B9" s="265"/>
      <c r="C9" s="266"/>
      <c r="D9" s="265"/>
      <c r="E9" s="266"/>
      <c r="F9" s="267">
        <f t="shared" si="0"/>
        <v>40</v>
      </c>
      <c r="G9" s="101"/>
    </row>
    <row r="10" spans="1:14" x14ac:dyDescent="0.25">
      <c r="A10" s="33"/>
      <c r="B10" s="265"/>
      <c r="C10" s="266"/>
      <c r="D10" s="265"/>
      <c r="E10" s="266"/>
      <c r="F10" s="267">
        <f t="shared" si="0"/>
        <v>50</v>
      </c>
      <c r="G10" s="101"/>
    </row>
    <row r="11" spans="1:14" x14ac:dyDescent="0.25">
      <c r="A11" s="33"/>
      <c r="B11" s="265"/>
      <c r="C11" s="266"/>
      <c r="D11" s="265"/>
      <c r="E11" s="266"/>
      <c r="F11" s="267">
        <f t="shared" si="0"/>
        <v>60</v>
      </c>
      <c r="G11" s="101"/>
    </row>
    <row r="12" spans="1:14" x14ac:dyDescent="0.25">
      <c r="A12" s="33"/>
      <c r="B12" s="265"/>
      <c r="C12" s="266"/>
      <c r="D12" s="265"/>
      <c r="E12" s="266"/>
      <c r="F12" s="267">
        <f t="shared" si="0"/>
        <v>70</v>
      </c>
      <c r="G12" s="101"/>
    </row>
    <row r="13" spans="1:14" x14ac:dyDescent="0.25">
      <c r="A13" s="33"/>
      <c r="B13" s="265"/>
      <c r="C13" s="266"/>
      <c r="D13" s="265"/>
      <c r="E13" s="266"/>
      <c r="F13" s="267">
        <f t="shared" si="0"/>
        <v>80</v>
      </c>
      <c r="G13" s="101"/>
    </row>
    <row r="14" spans="1:14" x14ac:dyDescent="0.25">
      <c r="A14" s="33"/>
      <c r="B14" s="265"/>
      <c r="C14" s="266"/>
      <c r="D14" s="265"/>
      <c r="E14" s="266"/>
      <c r="F14" s="267">
        <f t="shared" si="0"/>
        <v>90</v>
      </c>
      <c r="G14" s="101"/>
    </row>
    <row r="15" spans="1:14" x14ac:dyDescent="0.25">
      <c r="A15" s="33"/>
      <c r="B15" s="265"/>
      <c r="C15" s="266"/>
      <c r="D15" s="265"/>
      <c r="E15" s="266"/>
      <c r="F15" s="267">
        <f t="shared" si="0"/>
        <v>100</v>
      </c>
      <c r="G15" s="101"/>
    </row>
    <row r="16" spans="1:14" x14ac:dyDescent="0.25">
      <c r="A16" s="33"/>
      <c r="B16" s="265"/>
      <c r="C16" s="266"/>
      <c r="D16" s="265"/>
      <c r="E16" s="266"/>
      <c r="F16" s="267">
        <f t="shared" si="0"/>
        <v>110</v>
      </c>
      <c r="G16" s="101"/>
    </row>
    <row r="17" spans="1:7" x14ac:dyDescent="0.25">
      <c r="A17" s="33"/>
      <c r="B17" s="265"/>
      <c r="C17" s="266"/>
      <c r="D17" s="265"/>
      <c r="E17" s="266"/>
      <c r="F17" s="267">
        <v>120</v>
      </c>
      <c r="G17" s="101">
        <v>73.099999999999994</v>
      </c>
    </row>
    <row r="18" spans="1:7" x14ac:dyDescent="0.25">
      <c r="A18" s="33"/>
      <c r="B18" s="265"/>
      <c r="C18" s="266"/>
      <c r="D18" s="265"/>
      <c r="E18" s="266"/>
      <c r="F18" s="267">
        <f>F17+10</f>
        <v>130</v>
      </c>
      <c r="G18" s="101">
        <v>69.19</v>
      </c>
    </row>
    <row r="19" spans="1:7" x14ac:dyDescent="0.25">
      <c r="A19" s="33"/>
      <c r="B19" s="265"/>
      <c r="C19" s="266"/>
      <c r="D19" s="265"/>
      <c r="E19" s="266"/>
      <c r="F19" s="267">
        <f t="shared" ref="F19:F56" si="1">F18+10</f>
        <v>140</v>
      </c>
      <c r="G19" s="101">
        <v>71.09</v>
      </c>
    </row>
    <row r="20" spans="1:7" x14ac:dyDescent="0.25">
      <c r="A20" s="33"/>
      <c r="B20" s="265"/>
      <c r="C20" s="266"/>
      <c r="D20" s="265"/>
      <c r="E20" s="266"/>
      <c r="F20" s="267">
        <f t="shared" si="1"/>
        <v>150</v>
      </c>
      <c r="G20" s="101">
        <v>88.25</v>
      </c>
    </row>
    <row r="21" spans="1:7" x14ac:dyDescent="0.25">
      <c r="A21" s="33"/>
      <c r="B21" s="265"/>
      <c r="C21" s="266"/>
      <c r="D21" s="265"/>
      <c r="E21" s="266"/>
      <c r="F21" s="267">
        <f t="shared" si="1"/>
        <v>160</v>
      </c>
      <c r="G21" s="101">
        <v>73.08</v>
      </c>
    </row>
    <row r="22" spans="1:7" x14ac:dyDescent="0.25">
      <c r="A22" s="33"/>
      <c r="B22" s="265"/>
      <c r="C22" s="266"/>
      <c r="D22" s="265"/>
      <c r="E22" s="266"/>
      <c r="F22" s="267">
        <f t="shared" si="1"/>
        <v>170</v>
      </c>
      <c r="G22" s="101">
        <v>69.67</v>
      </c>
    </row>
    <row r="23" spans="1:7" x14ac:dyDescent="0.25">
      <c r="A23" s="33"/>
      <c r="B23" s="265"/>
      <c r="C23" s="266"/>
      <c r="D23" s="265"/>
      <c r="E23" s="266"/>
      <c r="F23" s="267">
        <f t="shared" si="1"/>
        <v>180</v>
      </c>
      <c r="G23" s="101">
        <v>71.349999999999994</v>
      </c>
    </row>
    <row r="24" spans="1:7" x14ac:dyDescent="0.25">
      <c r="A24" s="33"/>
      <c r="B24" s="265"/>
      <c r="C24" s="266"/>
      <c r="D24" s="265"/>
      <c r="E24" s="266"/>
      <c r="F24" s="267">
        <f t="shared" si="1"/>
        <v>190</v>
      </c>
      <c r="G24" s="101">
        <v>70.62</v>
      </c>
    </row>
    <row r="25" spans="1:7" x14ac:dyDescent="0.25">
      <c r="A25" s="33"/>
      <c r="B25" s="265"/>
      <c r="C25" s="266"/>
      <c r="D25" s="265"/>
      <c r="E25" s="266"/>
      <c r="F25" s="267">
        <f t="shared" si="1"/>
        <v>200</v>
      </c>
      <c r="G25" s="101">
        <v>67.709999999999994</v>
      </c>
    </row>
    <row r="26" spans="1:7" x14ac:dyDescent="0.25">
      <c r="A26" s="33"/>
      <c r="B26" s="265"/>
      <c r="C26" s="266"/>
      <c r="D26" s="265"/>
      <c r="E26" s="266"/>
      <c r="F26" s="267">
        <f t="shared" si="1"/>
        <v>210</v>
      </c>
      <c r="G26" s="101">
        <v>65.989999999999995</v>
      </c>
    </row>
    <row r="27" spans="1:7" x14ac:dyDescent="0.25">
      <c r="A27" s="33"/>
      <c r="B27" s="265"/>
      <c r="C27" s="266"/>
      <c r="D27" s="265"/>
      <c r="E27" s="266"/>
      <c r="F27" s="267">
        <f t="shared" si="1"/>
        <v>220</v>
      </c>
      <c r="G27" s="101">
        <v>64.8</v>
      </c>
    </row>
    <row r="28" spans="1:7" x14ac:dyDescent="0.25">
      <c r="A28" s="33"/>
      <c r="B28" s="265"/>
      <c r="C28" s="266"/>
      <c r="D28" s="265"/>
      <c r="E28" s="266"/>
      <c r="F28" s="267">
        <f t="shared" si="1"/>
        <v>230</v>
      </c>
      <c r="G28" s="101">
        <v>62.87</v>
      </c>
    </row>
    <row r="29" spans="1:7" x14ac:dyDescent="0.25">
      <c r="A29" s="33"/>
      <c r="B29" s="265"/>
      <c r="C29" s="266"/>
      <c r="D29" s="265"/>
      <c r="E29" s="266"/>
      <c r="F29" s="267">
        <f t="shared" si="1"/>
        <v>240</v>
      </c>
      <c r="G29" s="101">
        <v>66.38</v>
      </c>
    </row>
    <row r="30" spans="1:7" x14ac:dyDescent="0.25">
      <c r="A30" s="33"/>
      <c r="B30" s="265"/>
      <c r="C30" s="266"/>
      <c r="D30" s="265"/>
      <c r="E30" s="266"/>
      <c r="F30" s="267">
        <f t="shared" si="1"/>
        <v>250</v>
      </c>
      <c r="G30" s="101">
        <v>82.1</v>
      </c>
    </row>
    <row r="31" spans="1:7" x14ac:dyDescent="0.25">
      <c r="A31" s="33"/>
      <c r="B31" s="265"/>
      <c r="C31" s="266"/>
      <c r="D31" s="265"/>
      <c r="E31" s="266"/>
      <c r="F31" s="267">
        <f t="shared" si="1"/>
        <v>260</v>
      </c>
      <c r="G31" s="101">
        <v>158.4</v>
      </c>
    </row>
    <row r="32" spans="1:7" x14ac:dyDescent="0.25">
      <c r="A32" s="33"/>
      <c r="B32" s="265"/>
      <c r="C32" s="266"/>
      <c r="D32" s="265"/>
      <c r="E32" s="266"/>
      <c r="F32" s="267">
        <f t="shared" si="1"/>
        <v>270</v>
      </c>
      <c r="G32" s="101">
        <v>324.3</v>
      </c>
    </row>
    <row r="33" spans="1:7" x14ac:dyDescent="0.25">
      <c r="A33" s="33"/>
      <c r="B33" s="265"/>
      <c r="C33" s="266"/>
      <c r="D33" s="265"/>
      <c r="E33" s="266"/>
      <c r="F33" s="267">
        <f t="shared" si="1"/>
        <v>280</v>
      </c>
      <c r="G33" s="101">
        <v>451.2</v>
      </c>
    </row>
    <row r="34" spans="1:7" x14ac:dyDescent="0.25">
      <c r="A34" s="33"/>
      <c r="B34" s="265"/>
      <c r="C34" s="266"/>
      <c r="D34" s="265"/>
      <c r="E34" s="266"/>
      <c r="F34" s="267">
        <f t="shared" si="1"/>
        <v>290</v>
      </c>
      <c r="G34" s="101">
        <v>528.9</v>
      </c>
    </row>
    <row r="35" spans="1:7" x14ac:dyDescent="0.25">
      <c r="A35" s="33"/>
      <c r="B35" s="265"/>
      <c r="C35" s="266"/>
      <c r="D35" s="265"/>
      <c r="E35" s="266"/>
      <c r="F35" s="267">
        <f t="shared" si="1"/>
        <v>300</v>
      </c>
      <c r="G35" s="101">
        <v>528.70000000000005</v>
      </c>
    </row>
    <row r="36" spans="1:7" x14ac:dyDescent="0.25">
      <c r="A36" s="33"/>
      <c r="B36" s="265"/>
      <c r="C36" s="266"/>
      <c r="D36" s="265"/>
      <c r="E36" s="266"/>
      <c r="F36" s="267">
        <f t="shared" si="1"/>
        <v>310</v>
      </c>
      <c r="G36" s="101">
        <v>547.20000000000005</v>
      </c>
    </row>
    <row r="37" spans="1:7" x14ac:dyDescent="0.25">
      <c r="A37" s="33"/>
      <c r="B37" s="265"/>
      <c r="C37" s="266"/>
      <c r="D37" s="265"/>
      <c r="E37" s="266"/>
      <c r="F37" s="267">
        <f t="shared" si="1"/>
        <v>320</v>
      </c>
      <c r="G37" s="101">
        <v>551.1</v>
      </c>
    </row>
    <row r="38" spans="1:7" x14ac:dyDescent="0.25">
      <c r="A38" s="33"/>
      <c r="B38" s="265"/>
      <c r="C38" s="266"/>
      <c r="D38" s="265"/>
      <c r="E38" s="266"/>
      <c r="F38" s="267">
        <f t="shared" si="1"/>
        <v>330</v>
      </c>
      <c r="G38" s="101">
        <v>542.79999999999995</v>
      </c>
    </row>
    <row r="39" spans="1:7" x14ac:dyDescent="0.25">
      <c r="A39" s="33"/>
      <c r="B39" s="265"/>
      <c r="C39" s="266"/>
      <c r="D39" s="265"/>
      <c r="E39" s="266"/>
      <c r="F39" s="267">
        <f t="shared" si="1"/>
        <v>340</v>
      </c>
      <c r="G39" s="101">
        <v>552.29999999999995</v>
      </c>
    </row>
    <row r="40" spans="1:7" x14ac:dyDescent="0.25">
      <c r="A40" s="33"/>
      <c r="B40" s="265"/>
      <c r="C40" s="266"/>
      <c r="D40" s="265"/>
      <c r="E40" s="266"/>
      <c r="F40" s="267">
        <f t="shared" si="1"/>
        <v>350</v>
      </c>
      <c r="G40" s="101">
        <v>549</v>
      </c>
    </row>
    <row r="41" spans="1:7" x14ac:dyDescent="0.25">
      <c r="A41" s="33"/>
      <c r="B41" s="265"/>
      <c r="C41" s="266"/>
      <c r="D41" s="265"/>
      <c r="E41" s="266"/>
      <c r="F41" s="267">
        <f t="shared" si="1"/>
        <v>360</v>
      </c>
      <c r="G41" s="101">
        <v>542.70000000000005</v>
      </c>
    </row>
    <row r="42" spans="1:7" x14ac:dyDescent="0.25">
      <c r="A42" s="33"/>
      <c r="B42" s="265"/>
      <c r="C42" s="266"/>
      <c r="D42" s="265"/>
      <c r="E42" s="266"/>
      <c r="F42" s="267">
        <f t="shared" si="1"/>
        <v>370</v>
      </c>
      <c r="G42" s="101">
        <v>531</v>
      </c>
    </row>
    <row r="43" spans="1:7" x14ac:dyDescent="0.25">
      <c r="A43" s="33"/>
      <c r="B43" s="265"/>
      <c r="C43" s="266"/>
      <c r="D43" s="265"/>
      <c r="E43" s="266"/>
      <c r="F43" s="267">
        <f t="shared" si="1"/>
        <v>380</v>
      </c>
      <c r="G43" s="101">
        <v>450.9</v>
      </c>
    </row>
    <row r="44" spans="1:7" x14ac:dyDescent="0.25">
      <c r="A44" s="33"/>
      <c r="B44" s="265"/>
      <c r="C44" s="266"/>
      <c r="D44" s="265"/>
      <c r="E44" s="266"/>
      <c r="F44" s="267">
        <f t="shared" si="1"/>
        <v>390</v>
      </c>
      <c r="G44" s="101">
        <v>295.3</v>
      </c>
    </row>
    <row r="45" spans="1:7" x14ac:dyDescent="0.25">
      <c r="A45" s="33"/>
      <c r="B45" s="265"/>
      <c r="C45" s="266"/>
      <c r="D45" s="265"/>
      <c r="E45" s="266"/>
      <c r="F45" s="267">
        <f t="shared" si="1"/>
        <v>400</v>
      </c>
      <c r="G45" s="101">
        <v>145.80000000000001</v>
      </c>
    </row>
    <row r="46" spans="1:7" x14ac:dyDescent="0.25">
      <c r="A46" s="33"/>
      <c r="B46" s="265"/>
      <c r="C46" s="266"/>
      <c r="D46" s="265"/>
      <c r="E46" s="266"/>
      <c r="F46" s="267">
        <f t="shared" si="1"/>
        <v>410</v>
      </c>
      <c r="G46" s="101">
        <v>98.17</v>
      </c>
    </row>
    <row r="47" spans="1:7" x14ac:dyDescent="0.25">
      <c r="A47" s="33"/>
      <c r="B47" s="265"/>
      <c r="C47" s="266"/>
      <c r="D47" s="265"/>
      <c r="E47" s="266"/>
      <c r="F47" s="267">
        <f t="shared" si="1"/>
        <v>420</v>
      </c>
      <c r="G47" s="101">
        <v>81</v>
      </c>
    </row>
    <row r="48" spans="1:7" x14ac:dyDescent="0.25">
      <c r="A48" s="33"/>
      <c r="B48" s="265"/>
      <c r="C48" s="266"/>
      <c r="D48" s="265"/>
      <c r="E48" s="266"/>
      <c r="F48" s="267">
        <f t="shared" si="1"/>
        <v>430</v>
      </c>
      <c r="G48" s="101">
        <v>71.260000000000005</v>
      </c>
    </row>
    <row r="49" spans="1:7" x14ac:dyDescent="0.25">
      <c r="A49" s="33"/>
      <c r="B49" s="265"/>
      <c r="C49" s="266"/>
      <c r="D49" s="265"/>
      <c r="E49" s="266"/>
      <c r="F49" s="267">
        <f t="shared" si="1"/>
        <v>440</v>
      </c>
      <c r="G49" s="101">
        <v>70.819999999999993</v>
      </c>
    </row>
    <row r="50" spans="1:7" x14ac:dyDescent="0.25">
      <c r="A50" s="33"/>
      <c r="B50" s="265"/>
      <c r="C50" s="266"/>
      <c r="D50" s="265"/>
      <c r="E50" s="266"/>
      <c r="F50" s="267">
        <f t="shared" si="1"/>
        <v>450</v>
      </c>
      <c r="G50" s="101">
        <v>66.69</v>
      </c>
    </row>
    <row r="51" spans="1:7" x14ac:dyDescent="0.25">
      <c r="A51" s="33"/>
      <c r="B51" s="265"/>
      <c r="C51" s="266"/>
      <c r="D51" s="265"/>
      <c r="E51" s="266"/>
      <c r="F51" s="267">
        <f t="shared" si="1"/>
        <v>460</v>
      </c>
      <c r="G51" s="101">
        <v>66.819999999999993</v>
      </c>
    </row>
    <row r="52" spans="1:7" x14ac:dyDescent="0.25">
      <c r="A52" s="33"/>
      <c r="B52" s="265"/>
      <c r="C52" s="266"/>
      <c r="D52" s="265"/>
      <c r="E52" s="266"/>
      <c r="F52" s="267">
        <f t="shared" si="1"/>
        <v>470</v>
      </c>
      <c r="G52" s="101">
        <v>68.14</v>
      </c>
    </row>
    <row r="53" spans="1:7" x14ac:dyDescent="0.25">
      <c r="A53" s="33"/>
      <c r="B53" s="265"/>
      <c r="C53" s="266"/>
      <c r="D53" s="265"/>
      <c r="E53" s="266"/>
      <c r="F53" s="267">
        <f t="shared" si="1"/>
        <v>480</v>
      </c>
      <c r="G53" s="101">
        <v>64.55</v>
      </c>
    </row>
    <row r="54" spans="1:7" x14ac:dyDescent="0.25">
      <c r="A54" s="33"/>
      <c r="B54" s="265"/>
      <c r="C54" s="266"/>
      <c r="D54" s="265"/>
      <c r="E54" s="266"/>
      <c r="F54" s="267">
        <f t="shared" si="1"/>
        <v>490</v>
      </c>
      <c r="G54" s="101">
        <v>69.52</v>
      </c>
    </row>
    <row r="55" spans="1:7" x14ac:dyDescent="0.25">
      <c r="A55" s="33"/>
      <c r="B55" s="265"/>
      <c r="C55" s="266"/>
      <c r="D55" s="265"/>
      <c r="E55" s="266"/>
      <c r="F55" s="267">
        <f t="shared" si="1"/>
        <v>500</v>
      </c>
      <c r="G55" s="101">
        <v>67.16</v>
      </c>
    </row>
    <row r="56" spans="1:7" ht="15.75" thickBot="1" x14ac:dyDescent="0.3">
      <c r="A56" s="33"/>
      <c r="B56" s="268"/>
      <c r="C56" s="269"/>
      <c r="D56" s="268"/>
      <c r="E56" s="269"/>
      <c r="F56" s="270">
        <f t="shared" si="1"/>
        <v>510</v>
      </c>
      <c r="G56" s="49">
        <v>75.069999999999993</v>
      </c>
    </row>
    <row r="57" spans="1:7" x14ac:dyDescent="0.25">
      <c r="A57" s="33"/>
      <c r="B57" s="261">
        <v>42115</v>
      </c>
      <c r="C57" s="262" t="s">
        <v>50</v>
      </c>
      <c r="D57" s="263" t="s">
        <v>193</v>
      </c>
      <c r="E57" s="262" t="s">
        <v>191</v>
      </c>
      <c r="F57" s="263">
        <v>0</v>
      </c>
      <c r="G57" s="45">
        <v>84.72</v>
      </c>
    </row>
    <row r="58" spans="1:7" x14ac:dyDescent="0.25">
      <c r="A58" s="33"/>
      <c r="B58" s="265"/>
      <c r="C58" s="266"/>
      <c r="D58" s="265"/>
      <c r="E58" s="266"/>
      <c r="F58" s="265">
        <f t="shared" ref="F58:F106" si="2">F57+10</f>
        <v>10</v>
      </c>
      <c r="G58" s="101">
        <v>87.38</v>
      </c>
    </row>
    <row r="59" spans="1:7" x14ac:dyDescent="0.25">
      <c r="A59" s="33"/>
      <c r="B59" s="265"/>
      <c r="C59" s="266"/>
      <c r="D59" s="265"/>
      <c r="E59" s="266"/>
      <c r="F59" s="265">
        <f t="shared" si="2"/>
        <v>20</v>
      </c>
      <c r="G59" s="101">
        <v>83.86</v>
      </c>
    </row>
    <row r="60" spans="1:7" x14ac:dyDescent="0.25">
      <c r="A60" s="33"/>
      <c r="B60" s="265"/>
      <c r="C60" s="266"/>
      <c r="D60" s="265"/>
      <c r="E60" s="266"/>
      <c r="F60" s="265">
        <f t="shared" si="2"/>
        <v>30</v>
      </c>
      <c r="G60" s="101">
        <v>187.7</v>
      </c>
    </row>
    <row r="61" spans="1:7" x14ac:dyDescent="0.25">
      <c r="A61" s="33"/>
      <c r="B61" s="265"/>
      <c r="C61" s="266"/>
      <c r="D61" s="265"/>
      <c r="E61" s="266"/>
      <c r="F61" s="265">
        <f t="shared" si="2"/>
        <v>40</v>
      </c>
      <c r="G61" s="101">
        <v>547.4</v>
      </c>
    </row>
    <row r="62" spans="1:7" x14ac:dyDescent="0.25">
      <c r="A62" s="33"/>
      <c r="B62" s="265"/>
      <c r="C62" s="266"/>
      <c r="D62" s="265"/>
      <c r="E62" s="266"/>
      <c r="F62" s="265">
        <f t="shared" si="2"/>
        <v>50</v>
      </c>
      <c r="G62" s="101">
        <v>597.9</v>
      </c>
    </row>
    <row r="63" spans="1:7" x14ac:dyDescent="0.25">
      <c r="A63" s="33"/>
      <c r="B63" s="265"/>
      <c r="C63" s="266"/>
      <c r="D63" s="265"/>
      <c r="E63" s="266"/>
      <c r="F63" s="265">
        <f t="shared" si="2"/>
        <v>60</v>
      </c>
      <c r="G63" s="101">
        <v>610.79999999999995</v>
      </c>
    </row>
    <row r="64" spans="1:7" x14ac:dyDescent="0.25">
      <c r="A64" s="33"/>
      <c r="B64" s="265"/>
      <c r="C64" s="266"/>
      <c r="D64" s="265"/>
      <c r="E64" s="266"/>
      <c r="F64" s="265">
        <f t="shared" si="2"/>
        <v>70</v>
      </c>
      <c r="G64" s="101">
        <v>605.20000000000005</v>
      </c>
    </row>
    <row r="65" spans="1:7" x14ac:dyDescent="0.25">
      <c r="A65" s="33"/>
      <c r="B65" s="265"/>
      <c r="C65" s="266"/>
      <c r="D65" s="265"/>
      <c r="E65" s="266"/>
      <c r="F65" s="265">
        <f t="shared" si="2"/>
        <v>80</v>
      </c>
      <c r="G65" s="101">
        <v>606.9</v>
      </c>
    </row>
    <row r="66" spans="1:7" x14ac:dyDescent="0.25">
      <c r="A66" s="33"/>
      <c r="B66" s="265"/>
      <c r="C66" s="266"/>
      <c r="D66" s="265"/>
      <c r="E66" s="266"/>
      <c r="F66" s="265">
        <f t="shared" si="2"/>
        <v>90</v>
      </c>
      <c r="G66" s="101">
        <v>421.8</v>
      </c>
    </row>
    <row r="67" spans="1:7" x14ac:dyDescent="0.25">
      <c r="A67" s="33"/>
      <c r="B67" s="265"/>
      <c r="C67" s="266"/>
      <c r="D67" s="265"/>
      <c r="E67" s="266"/>
      <c r="F67" s="265">
        <f t="shared" si="2"/>
        <v>100</v>
      </c>
      <c r="G67" s="101">
        <v>109.4</v>
      </c>
    </row>
    <row r="68" spans="1:7" x14ac:dyDescent="0.25">
      <c r="A68" s="33"/>
      <c r="B68" s="265"/>
      <c r="C68" s="266"/>
      <c r="D68" s="265"/>
      <c r="E68" s="266"/>
      <c r="F68" s="265">
        <f t="shared" si="2"/>
        <v>110</v>
      </c>
      <c r="G68" s="101">
        <v>93.07</v>
      </c>
    </row>
    <row r="69" spans="1:7" x14ac:dyDescent="0.25">
      <c r="A69" s="33"/>
      <c r="B69" s="265"/>
      <c r="C69" s="266"/>
      <c r="D69" s="265"/>
      <c r="E69" s="266"/>
      <c r="F69" s="265">
        <f t="shared" si="2"/>
        <v>120</v>
      </c>
      <c r="G69" s="101">
        <v>92.46</v>
      </c>
    </row>
    <row r="70" spans="1:7" x14ac:dyDescent="0.25">
      <c r="A70" s="33"/>
      <c r="B70" s="265"/>
      <c r="C70" s="266"/>
      <c r="D70" s="265"/>
      <c r="E70" s="266"/>
      <c r="F70" s="265">
        <f t="shared" si="2"/>
        <v>130</v>
      </c>
      <c r="G70" s="101">
        <v>126.8</v>
      </c>
    </row>
    <row r="71" spans="1:7" x14ac:dyDescent="0.25">
      <c r="A71" s="33"/>
      <c r="B71" s="265"/>
      <c r="C71" s="266"/>
      <c r="D71" s="265"/>
      <c r="E71" s="266"/>
      <c r="F71" s="265">
        <f t="shared" si="2"/>
        <v>140</v>
      </c>
      <c r="G71" s="101">
        <v>90.34</v>
      </c>
    </row>
    <row r="72" spans="1:7" x14ac:dyDescent="0.25">
      <c r="A72" s="33"/>
      <c r="B72" s="265"/>
      <c r="C72" s="266"/>
      <c r="D72" s="265"/>
      <c r="E72" s="266"/>
      <c r="F72" s="265">
        <f t="shared" si="2"/>
        <v>150</v>
      </c>
      <c r="G72" s="101">
        <v>91.31</v>
      </c>
    </row>
    <row r="73" spans="1:7" x14ac:dyDescent="0.25">
      <c r="A73" s="33"/>
      <c r="B73" s="265"/>
      <c r="C73" s="266"/>
      <c r="D73" s="265"/>
      <c r="E73" s="266"/>
      <c r="F73" s="265">
        <f t="shared" si="2"/>
        <v>160</v>
      </c>
      <c r="G73" s="101">
        <v>92.13</v>
      </c>
    </row>
    <row r="74" spans="1:7" x14ac:dyDescent="0.25">
      <c r="A74" s="33"/>
      <c r="B74" s="265"/>
      <c r="C74" s="266"/>
      <c r="D74" s="265"/>
      <c r="E74" s="266"/>
      <c r="F74" s="265">
        <f t="shared" si="2"/>
        <v>170</v>
      </c>
      <c r="G74" s="101">
        <v>89.41</v>
      </c>
    </row>
    <row r="75" spans="1:7" x14ac:dyDescent="0.25">
      <c r="A75" s="33"/>
      <c r="B75" s="265"/>
      <c r="C75" s="266"/>
      <c r="D75" s="265"/>
      <c r="E75" s="266"/>
      <c r="F75" s="265">
        <f t="shared" si="2"/>
        <v>180</v>
      </c>
      <c r="G75" s="101">
        <v>86.09</v>
      </c>
    </row>
    <row r="76" spans="1:7" x14ac:dyDescent="0.25">
      <c r="A76" s="33"/>
      <c r="B76" s="265"/>
      <c r="C76" s="266"/>
      <c r="D76" s="265"/>
      <c r="E76" s="266"/>
      <c r="F76" s="265">
        <f t="shared" si="2"/>
        <v>190</v>
      </c>
      <c r="G76" s="101">
        <v>87.11</v>
      </c>
    </row>
    <row r="77" spans="1:7" x14ac:dyDescent="0.25">
      <c r="A77" s="33"/>
      <c r="B77" s="265"/>
      <c r="C77" s="266"/>
      <c r="D77" s="265"/>
      <c r="E77" s="266"/>
      <c r="F77" s="265">
        <f t="shared" si="2"/>
        <v>200</v>
      </c>
      <c r="G77" s="101">
        <v>86.64</v>
      </c>
    </row>
    <row r="78" spans="1:7" x14ac:dyDescent="0.25">
      <c r="A78" s="33"/>
      <c r="B78" s="265"/>
      <c r="C78" s="266"/>
      <c r="D78" s="265"/>
      <c r="E78" s="266"/>
      <c r="F78" s="265">
        <f t="shared" si="2"/>
        <v>210</v>
      </c>
      <c r="G78" s="101">
        <v>82.21</v>
      </c>
    </row>
    <row r="79" spans="1:7" x14ac:dyDescent="0.25">
      <c r="A79" s="33"/>
      <c r="B79" s="265"/>
      <c r="C79" s="266"/>
      <c r="D79" s="265"/>
      <c r="E79" s="266"/>
      <c r="F79" s="265">
        <f t="shared" si="2"/>
        <v>220</v>
      </c>
      <c r="G79" s="101">
        <v>83.3</v>
      </c>
    </row>
    <row r="80" spans="1:7" x14ac:dyDescent="0.25">
      <c r="A80" s="33"/>
      <c r="B80" s="265"/>
      <c r="C80" s="266"/>
      <c r="D80" s="265"/>
      <c r="E80" s="266"/>
      <c r="F80" s="265">
        <f t="shared" si="2"/>
        <v>230</v>
      </c>
      <c r="G80" s="101">
        <v>84.18</v>
      </c>
    </row>
    <row r="81" spans="1:7" ht="15.75" thickBot="1" x14ac:dyDescent="0.3">
      <c r="A81" s="33"/>
      <c r="B81" s="268"/>
      <c r="C81" s="269"/>
      <c r="D81" s="268"/>
      <c r="E81" s="269"/>
      <c r="F81" s="268">
        <f t="shared" si="2"/>
        <v>240</v>
      </c>
      <c r="G81" s="49">
        <v>81.09</v>
      </c>
    </row>
    <row r="82" spans="1:7" x14ac:dyDescent="0.25">
      <c r="A82" s="33"/>
      <c r="B82" s="261">
        <v>42115</v>
      </c>
      <c r="C82" s="262" t="s">
        <v>50</v>
      </c>
      <c r="D82" s="265" t="s">
        <v>194</v>
      </c>
      <c r="E82" s="266" t="s">
        <v>191</v>
      </c>
      <c r="F82" s="265">
        <v>0</v>
      </c>
      <c r="G82" s="101">
        <v>69.709999999999994</v>
      </c>
    </row>
    <row r="83" spans="1:7" x14ac:dyDescent="0.25">
      <c r="A83" s="33"/>
      <c r="B83" s="265"/>
      <c r="C83" s="266"/>
      <c r="D83" s="265"/>
      <c r="E83" s="266"/>
      <c r="F83" s="265">
        <f t="shared" si="2"/>
        <v>10</v>
      </c>
      <c r="G83" s="101">
        <v>70.58</v>
      </c>
    </row>
    <row r="84" spans="1:7" x14ac:dyDescent="0.25">
      <c r="A84" s="33"/>
      <c r="B84" s="265"/>
      <c r="C84" s="266"/>
      <c r="D84" s="265"/>
      <c r="E84" s="266"/>
      <c r="F84" s="265">
        <f t="shared" si="2"/>
        <v>20</v>
      </c>
      <c r="G84" s="101">
        <v>71.19</v>
      </c>
    </row>
    <row r="85" spans="1:7" x14ac:dyDescent="0.25">
      <c r="A85" s="33"/>
      <c r="B85" s="265"/>
      <c r="C85" s="266"/>
      <c r="D85" s="265"/>
      <c r="E85" s="266"/>
      <c r="F85" s="265">
        <f t="shared" si="2"/>
        <v>30</v>
      </c>
      <c r="G85" s="101">
        <v>72.150000000000006</v>
      </c>
    </row>
    <row r="86" spans="1:7" x14ac:dyDescent="0.25">
      <c r="A86" s="33"/>
      <c r="B86" s="265"/>
      <c r="C86" s="266"/>
      <c r="D86" s="265"/>
      <c r="E86" s="266"/>
      <c r="F86" s="265">
        <f t="shared" si="2"/>
        <v>40</v>
      </c>
      <c r="G86" s="101">
        <v>72.09</v>
      </c>
    </row>
    <row r="87" spans="1:7" x14ac:dyDescent="0.25">
      <c r="A87" s="33"/>
      <c r="B87" s="265"/>
      <c r="C87" s="266"/>
      <c r="D87" s="265"/>
      <c r="E87" s="266"/>
      <c r="F87" s="265">
        <f t="shared" si="2"/>
        <v>50</v>
      </c>
      <c r="G87" s="101">
        <v>146</v>
      </c>
    </row>
    <row r="88" spans="1:7" x14ac:dyDescent="0.25">
      <c r="A88" s="33"/>
      <c r="B88" s="265"/>
      <c r="C88" s="266"/>
      <c r="D88" s="265"/>
      <c r="E88" s="266"/>
      <c r="F88" s="265">
        <f t="shared" si="2"/>
        <v>60</v>
      </c>
      <c r="G88" s="101">
        <v>635.9</v>
      </c>
    </row>
    <row r="89" spans="1:7" x14ac:dyDescent="0.25">
      <c r="A89" s="33"/>
      <c r="B89" s="265"/>
      <c r="C89" s="266"/>
      <c r="D89" s="265"/>
      <c r="E89" s="266"/>
      <c r="F89" s="265">
        <f t="shared" si="2"/>
        <v>70</v>
      </c>
      <c r="G89" s="101">
        <v>1017</v>
      </c>
    </row>
    <row r="90" spans="1:7" x14ac:dyDescent="0.25">
      <c r="A90" s="33"/>
      <c r="B90" s="265"/>
      <c r="C90" s="266"/>
      <c r="D90" s="265"/>
      <c r="E90" s="266"/>
      <c r="F90" s="265">
        <f t="shared" si="2"/>
        <v>80</v>
      </c>
      <c r="G90" s="101">
        <v>1117</v>
      </c>
    </row>
    <row r="91" spans="1:7" x14ac:dyDescent="0.25">
      <c r="A91" s="33"/>
      <c r="B91" s="265"/>
      <c r="C91" s="266"/>
      <c r="D91" s="265"/>
      <c r="E91" s="266"/>
      <c r="F91" s="265">
        <f t="shared" si="2"/>
        <v>90</v>
      </c>
      <c r="G91" s="101">
        <v>1140</v>
      </c>
    </row>
    <row r="92" spans="1:7" x14ac:dyDescent="0.25">
      <c r="A92" s="33"/>
      <c r="B92" s="265"/>
      <c r="C92" s="266"/>
      <c r="D92" s="265"/>
      <c r="E92" s="266"/>
      <c r="F92" s="265">
        <f t="shared" si="2"/>
        <v>100</v>
      </c>
      <c r="G92" s="101">
        <v>1145</v>
      </c>
    </row>
    <row r="93" spans="1:7" x14ac:dyDescent="0.25">
      <c r="A93" s="33"/>
      <c r="B93" s="265"/>
      <c r="C93" s="266"/>
      <c r="D93" s="265"/>
      <c r="E93" s="266"/>
      <c r="F93" s="265">
        <f t="shared" si="2"/>
        <v>110</v>
      </c>
      <c r="G93" s="101">
        <v>937.7</v>
      </c>
    </row>
    <row r="94" spans="1:7" x14ac:dyDescent="0.25">
      <c r="A94" s="33"/>
      <c r="B94" s="265"/>
      <c r="C94" s="266"/>
      <c r="D94" s="265"/>
      <c r="E94" s="266"/>
      <c r="F94" s="265">
        <f t="shared" si="2"/>
        <v>120</v>
      </c>
      <c r="G94" s="101">
        <v>536.79999999999995</v>
      </c>
    </row>
    <row r="95" spans="1:7" x14ac:dyDescent="0.25">
      <c r="A95" s="33"/>
      <c r="B95" s="265"/>
      <c r="C95" s="266"/>
      <c r="D95" s="265"/>
      <c r="E95" s="266"/>
      <c r="F95" s="265">
        <f t="shared" si="2"/>
        <v>130</v>
      </c>
      <c r="G95" s="101">
        <v>201.7</v>
      </c>
    </row>
    <row r="96" spans="1:7" x14ac:dyDescent="0.25">
      <c r="A96" s="33"/>
      <c r="B96" s="265"/>
      <c r="C96" s="266"/>
      <c r="D96" s="265"/>
      <c r="E96" s="266"/>
      <c r="F96" s="265">
        <f t="shared" si="2"/>
        <v>140</v>
      </c>
      <c r="G96" s="101">
        <v>110.2</v>
      </c>
    </row>
    <row r="97" spans="1:7" x14ac:dyDescent="0.25">
      <c r="A97" s="33"/>
      <c r="B97" s="265"/>
      <c r="C97" s="266"/>
      <c r="D97" s="265"/>
      <c r="E97" s="266"/>
      <c r="F97" s="265">
        <f t="shared" si="2"/>
        <v>150</v>
      </c>
      <c r="G97" s="101">
        <v>86.05</v>
      </c>
    </row>
    <row r="98" spans="1:7" x14ac:dyDescent="0.25">
      <c r="A98" s="33"/>
      <c r="B98" s="265"/>
      <c r="C98" s="266"/>
      <c r="D98" s="265"/>
      <c r="E98" s="266"/>
      <c r="F98" s="265">
        <f t="shared" si="2"/>
        <v>160</v>
      </c>
      <c r="G98" s="101">
        <v>74.209999999999994</v>
      </c>
    </row>
    <row r="99" spans="1:7" x14ac:dyDescent="0.25">
      <c r="A99" s="33"/>
      <c r="B99" s="265"/>
      <c r="C99" s="266"/>
      <c r="D99" s="265"/>
      <c r="E99" s="266"/>
      <c r="F99" s="265">
        <f t="shared" si="2"/>
        <v>170</v>
      </c>
      <c r="G99" s="101">
        <v>69.489999999999995</v>
      </c>
    </row>
    <row r="100" spans="1:7" x14ac:dyDescent="0.25">
      <c r="A100" s="33"/>
      <c r="B100" s="265"/>
      <c r="C100" s="266"/>
      <c r="D100" s="265"/>
      <c r="E100" s="266"/>
      <c r="F100" s="265">
        <f t="shared" si="2"/>
        <v>180</v>
      </c>
      <c r="G100" s="101">
        <v>68.83</v>
      </c>
    </row>
    <row r="101" spans="1:7" x14ac:dyDescent="0.25">
      <c r="A101" s="33"/>
      <c r="B101" s="265"/>
      <c r="C101" s="266"/>
      <c r="D101" s="265"/>
      <c r="E101" s="266"/>
      <c r="F101" s="265">
        <f t="shared" si="2"/>
        <v>190</v>
      </c>
      <c r="G101" s="101">
        <v>71.78</v>
      </c>
    </row>
    <row r="102" spans="1:7" x14ac:dyDescent="0.25">
      <c r="A102" s="33"/>
      <c r="B102" s="265"/>
      <c r="C102" s="266"/>
      <c r="D102" s="265"/>
      <c r="E102" s="266"/>
      <c r="F102" s="265">
        <f t="shared" si="2"/>
        <v>200</v>
      </c>
      <c r="G102" s="101">
        <v>69.34</v>
      </c>
    </row>
    <row r="103" spans="1:7" x14ac:dyDescent="0.25">
      <c r="A103" s="33"/>
      <c r="B103" s="265"/>
      <c r="C103" s="266"/>
      <c r="D103" s="265"/>
      <c r="E103" s="266"/>
      <c r="F103" s="265">
        <f t="shared" si="2"/>
        <v>210</v>
      </c>
      <c r="G103" s="101">
        <v>69.05</v>
      </c>
    </row>
    <row r="104" spans="1:7" x14ac:dyDescent="0.25">
      <c r="A104" s="33"/>
      <c r="B104" s="265"/>
      <c r="C104" s="266"/>
      <c r="D104" s="265"/>
      <c r="E104" s="266"/>
      <c r="F104" s="265">
        <f t="shared" si="2"/>
        <v>220</v>
      </c>
      <c r="G104" s="101">
        <v>67.84</v>
      </c>
    </row>
    <row r="105" spans="1:7" x14ac:dyDescent="0.25">
      <c r="A105" s="33"/>
      <c r="B105" s="265"/>
      <c r="C105" s="266"/>
      <c r="D105" s="265"/>
      <c r="E105" s="266"/>
      <c r="F105" s="265">
        <f t="shared" si="2"/>
        <v>230</v>
      </c>
      <c r="G105" s="101">
        <v>65.25</v>
      </c>
    </row>
    <row r="106" spans="1:7" ht="15.75" thickBot="1" x14ac:dyDescent="0.3">
      <c r="A106" s="33"/>
      <c r="B106" s="268"/>
      <c r="C106" s="269"/>
      <c r="D106" s="268"/>
      <c r="E106" s="269"/>
      <c r="F106" s="268">
        <f t="shared" si="2"/>
        <v>240</v>
      </c>
      <c r="G106" s="49">
        <v>64.87</v>
      </c>
    </row>
    <row r="107" spans="1:7" x14ac:dyDescent="0.25">
      <c r="A107" s="33"/>
      <c r="F107" s="2" t="s">
        <v>189</v>
      </c>
    </row>
    <row r="108" spans="1:7" x14ac:dyDescent="0.25">
      <c r="F108" s="2" t="s">
        <v>189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E10" zoomScaleNormal="100" workbookViewId="0">
      <selection activeCell="G42" sqref="G42"/>
    </sheetView>
  </sheetViews>
  <sheetFormatPr defaultRowHeight="15" x14ac:dyDescent="0.25"/>
  <cols>
    <col min="1" max="1" width="10.7109375" customWidth="1"/>
    <col min="2" max="2" width="20.7109375" style="2" bestFit="1" customWidth="1"/>
    <col min="3" max="3" width="20.7109375" style="2" customWidth="1"/>
    <col min="4" max="4" width="21.7109375" style="2" customWidth="1"/>
    <col min="5" max="5" width="22.7109375" style="2" bestFit="1" customWidth="1"/>
    <col min="6" max="6" width="27.5703125" style="2" customWidth="1"/>
    <col min="7" max="7" width="17.85546875" style="2" customWidth="1"/>
    <col min="8" max="8" width="12.28515625" style="2" customWidth="1"/>
    <col min="9" max="9" width="7.28515625" style="2" customWidth="1"/>
    <col min="10" max="10" width="9.85546875" style="2" bestFit="1" customWidth="1"/>
    <col min="11" max="11" width="12.140625" style="2" customWidth="1"/>
    <col min="12" max="13" width="8.140625" style="2" customWidth="1"/>
    <col min="14" max="14" width="8.7109375" style="2" customWidth="1"/>
    <col min="15" max="15" width="7.85546875" style="2" customWidth="1"/>
    <col min="16" max="16" width="9.42578125" style="2" customWidth="1"/>
    <col min="17" max="17" width="8.5703125" style="2" bestFit="1" customWidth="1"/>
    <col min="18" max="18" width="8.5703125" style="2" customWidth="1"/>
  </cols>
  <sheetData>
    <row r="1" spans="1:19" ht="23.25" x14ac:dyDescent="0.35">
      <c r="A1" s="76"/>
    </row>
    <row r="2" spans="1:19" ht="23.25" x14ac:dyDescent="0.35">
      <c r="B2" s="43" t="s">
        <v>178</v>
      </c>
    </row>
    <row r="3" spans="1:19" ht="26.25" customHeight="1" thickBot="1" x14ac:dyDescent="0.3">
      <c r="G3" s="2" t="s">
        <v>1</v>
      </c>
      <c r="J3" s="2" t="s">
        <v>1</v>
      </c>
      <c r="Q3" s="2" t="s">
        <v>1</v>
      </c>
    </row>
    <row r="4" spans="1:19" s="2" customFormat="1" ht="34.5" customHeight="1" x14ac:dyDescent="0.25">
      <c r="B4" s="61" t="s">
        <v>3</v>
      </c>
      <c r="C4" s="61" t="s">
        <v>90</v>
      </c>
      <c r="D4" s="62" t="s">
        <v>5</v>
      </c>
      <c r="E4" s="62" t="s">
        <v>4</v>
      </c>
      <c r="F4" s="62" t="s">
        <v>6</v>
      </c>
      <c r="G4" s="63" t="s">
        <v>7</v>
      </c>
      <c r="H4" s="63"/>
      <c r="I4" s="62" t="s">
        <v>15</v>
      </c>
      <c r="J4" s="63" t="s">
        <v>8</v>
      </c>
      <c r="K4" s="62" t="s">
        <v>13</v>
      </c>
      <c r="L4" s="63" t="s">
        <v>14</v>
      </c>
      <c r="M4" s="63"/>
      <c r="N4" s="62" t="s">
        <v>10</v>
      </c>
      <c r="O4" s="63" t="s">
        <v>9</v>
      </c>
      <c r="P4" s="62" t="s">
        <v>11</v>
      </c>
      <c r="Q4" s="64" t="s">
        <v>12</v>
      </c>
      <c r="R4" s="71"/>
    </row>
    <row r="5" spans="1:19" ht="15.75" thickBot="1" x14ac:dyDescent="0.3">
      <c r="B5" s="65"/>
      <c r="C5" s="65"/>
      <c r="D5" s="66"/>
      <c r="E5" s="66"/>
      <c r="F5" s="66"/>
      <c r="G5" s="67"/>
      <c r="H5" s="67"/>
      <c r="I5" s="66" t="s">
        <v>248</v>
      </c>
      <c r="J5" s="67"/>
      <c r="K5" s="66"/>
      <c r="L5" s="67" t="s">
        <v>248</v>
      </c>
      <c r="M5" s="67"/>
      <c r="N5" s="66"/>
      <c r="O5" s="67" t="s">
        <v>248</v>
      </c>
      <c r="P5" s="66" t="s">
        <v>249</v>
      </c>
      <c r="Q5" s="68"/>
      <c r="R5" s="71"/>
    </row>
    <row r="6" spans="1:19" x14ac:dyDescent="0.25">
      <c r="B6" s="69">
        <v>42116</v>
      </c>
      <c r="C6" s="69" t="s">
        <v>92</v>
      </c>
      <c r="D6" s="70">
        <v>1065</v>
      </c>
      <c r="E6" s="62" t="s">
        <v>16</v>
      </c>
      <c r="F6" s="70">
        <v>36</v>
      </c>
      <c r="G6" s="71">
        <v>6.8</v>
      </c>
      <c r="H6" s="71"/>
      <c r="I6" s="70">
        <v>17</v>
      </c>
      <c r="J6" s="71">
        <v>3.5</v>
      </c>
      <c r="K6" s="70">
        <v>13</v>
      </c>
      <c r="L6" s="71">
        <v>12</v>
      </c>
      <c r="M6" s="71"/>
      <c r="N6" s="70">
        <v>60</v>
      </c>
      <c r="O6" s="71">
        <v>13</v>
      </c>
      <c r="P6" s="70">
        <v>830</v>
      </c>
      <c r="Q6" s="72">
        <v>50</v>
      </c>
      <c r="R6" s="71"/>
    </row>
    <row r="7" spans="1:19" x14ac:dyDescent="0.25">
      <c r="B7" s="69">
        <v>42118</v>
      </c>
      <c r="C7" s="69" t="s">
        <v>91</v>
      </c>
      <c r="D7" s="70">
        <v>355</v>
      </c>
      <c r="E7" s="70" t="s">
        <v>16</v>
      </c>
      <c r="F7" s="70">
        <v>60</v>
      </c>
      <c r="G7" s="71">
        <v>6.6</v>
      </c>
      <c r="H7" s="71"/>
      <c r="I7" s="70">
        <v>16</v>
      </c>
      <c r="J7" s="71">
        <v>3.5</v>
      </c>
      <c r="K7" s="70">
        <v>16</v>
      </c>
      <c r="L7" s="71">
        <v>6</v>
      </c>
      <c r="M7" s="71"/>
      <c r="N7" s="70">
        <v>65</v>
      </c>
      <c r="O7" s="71">
        <v>14</v>
      </c>
      <c r="P7" s="70">
        <v>850</v>
      </c>
      <c r="Q7" s="72">
        <v>44</v>
      </c>
      <c r="R7" s="71"/>
    </row>
    <row r="8" spans="1:19" x14ac:dyDescent="0.25">
      <c r="B8" s="69">
        <v>42121</v>
      </c>
      <c r="C8" s="69" t="s">
        <v>93</v>
      </c>
      <c r="D8" s="70">
        <v>1065</v>
      </c>
      <c r="E8" s="70" t="s">
        <v>17</v>
      </c>
      <c r="F8" s="70">
        <v>42</v>
      </c>
      <c r="G8" s="71">
        <v>6.6</v>
      </c>
      <c r="H8" s="71"/>
      <c r="I8" s="70">
        <v>16</v>
      </c>
      <c r="J8" s="71">
        <v>6.8</v>
      </c>
      <c r="K8" s="70">
        <v>24</v>
      </c>
      <c r="L8" s="71">
        <v>6</v>
      </c>
      <c r="M8" s="71"/>
      <c r="N8" s="70">
        <v>60</v>
      </c>
      <c r="O8" s="71">
        <v>15</v>
      </c>
      <c r="P8" s="70">
        <v>830</v>
      </c>
      <c r="Q8" s="72">
        <v>41</v>
      </c>
      <c r="R8" s="71"/>
    </row>
    <row r="9" spans="1:19" x14ac:dyDescent="0.25">
      <c r="B9" s="69">
        <v>42151</v>
      </c>
      <c r="C9" s="69" t="s">
        <v>94</v>
      </c>
      <c r="D9" s="70">
        <v>1065</v>
      </c>
      <c r="E9" s="70" t="s">
        <v>250</v>
      </c>
      <c r="F9" s="70">
        <v>59</v>
      </c>
      <c r="G9" s="71">
        <v>6.9</v>
      </c>
      <c r="H9" s="71"/>
      <c r="I9" s="70">
        <v>18</v>
      </c>
      <c r="J9" s="71">
        <v>4.5999999999999996</v>
      </c>
      <c r="K9" s="70">
        <v>24</v>
      </c>
      <c r="L9" s="71">
        <v>4</v>
      </c>
      <c r="M9" s="71"/>
      <c r="N9" s="70">
        <v>70</v>
      </c>
      <c r="O9" s="71">
        <v>15</v>
      </c>
      <c r="P9" s="70">
        <v>890</v>
      </c>
      <c r="Q9" s="72">
        <v>35</v>
      </c>
      <c r="R9" s="71"/>
    </row>
    <row r="10" spans="1:19" x14ac:dyDescent="0.25">
      <c r="B10" s="73">
        <v>42157</v>
      </c>
      <c r="C10" s="73" t="s">
        <v>95</v>
      </c>
      <c r="D10" s="70">
        <v>1065</v>
      </c>
      <c r="E10" s="70" t="s">
        <v>250</v>
      </c>
      <c r="F10" s="70">
        <v>43</v>
      </c>
      <c r="G10" s="71">
        <v>6.6</v>
      </c>
      <c r="H10" s="71"/>
      <c r="I10" s="70">
        <v>16</v>
      </c>
      <c r="J10" s="71">
        <v>2.2999999999999998</v>
      </c>
      <c r="K10" s="70">
        <v>16</v>
      </c>
      <c r="L10" s="71">
        <v>2</v>
      </c>
      <c r="M10" s="71"/>
      <c r="N10" s="70">
        <v>50</v>
      </c>
      <c r="O10" s="71">
        <v>13</v>
      </c>
      <c r="P10" s="70">
        <v>730</v>
      </c>
      <c r="Q10" s="72">
        <v>43</v>
      </c>
      <c r="R10" s="71"/>
    </row>
    <row r="11" spans="1:19" ht="15.75" thickBot="1" x14ac:dyDescent="0.3">
      <c r="B11" s="74">
        <v>42178</v>
      </c>
      <c r="C11" s="74" t="s">
        <v>96</v>
      </c>
      <c r="D11" s="66">
        <v>1065</v>
      </c>
      <c r="E11" s="66" t="s">
        <v>250</v>
      </c>
      <c r="F11" s="66">
        <v>53</v>
      </c>
      <c r="G11" s="67">
        <v>6.7</v>
      </c>
      <c r="H11" s="67"/>
      <c r="I11" s="66">
        <v>17</v>
      </c>
      <c r="J11" s="67">
        <v>9</v>
      </c>
      <c r="K11" s="66">
        <v>23</v>
      </c>
      <c r="L11" s="67">
        <v>33</v>
      </c>
      <c r="M11" s="67"/>
      <c r="N11" s="66">
        <v>44</v>
      </c>
      <c r="O11" s="67">
        <v>16</v>
      </c>
      <c r="P11" s="66">
        <v>830</v>
      </c>
      <c r="Q11" s="68">
        <v>40</v>
      </c>
      <c r="R11" s="71"/>
    </row>
    <row r="13" spans="1:19" x14ac:dyDescent="0.25">
      <c r="B13" s="34"/>
      <c r="C13" s="34"/>
      <c r="S13" s="1"/>
    </row>
    <row r="14" spans="1:19" x14ac:dyDescent="0.25">
      <c r="B14" s="34"/>
      <c r="C14" s="34"/>
      <c r="S14" s="1"/>
    </row>
    <row r="17" spans="2:21" ht="23.25" x14ac:dyDescent="0.25">
      <c r="B17" s="81" t="s">
        <v>307</v>
      </c>
    </row>
    <row r="19" spans="2:21" ht="15.75" thickBot="1" x14ac:dyDescent="0.3">
      <c r="R19"/>
    </row>
    <row r="20" spans="2:21" s="240" customFormat="1" ht="15.75" thickBot="1" x14ac:dyDescent="0.3">
      <c r="B20" s="251"/>
      <c r="C20" s="280" t="s">
        <v>304</v>
      </c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52"/>
    </row>
    <row r="21" spans="2:21" s="240" customFormat="1" ht="15.75" thickBot="1" x14ac:dyDescent="0.3">
      <c r="B21" s="253"/>
      <c r="C21" s="281">
        <v>42118</v>
      </c>
      <c r="D21" s="281"/>
      <c r="E21" s="281"/>
      <c r="F21" s="281">
        <v>42151</v>
      </c>
      <c r="G21" s="281"/>
      <c r="H21" s="281"/>
      <c r="I21" s="281"/>
      <c r="J21" s="281"/>
      <c r="K21" s="281">
        <v>42157</v>
      </c>
      <c r="L21" s="281"/>
      <c r="M21" s="281"/>
      <c r="N21" s="281"/>
      <c r="O21" s="281"/>
      <c r="P21" s="282">
        <v>42178</v>
      </c>
      <c r="Q21" s="282"/>
      <c r="R21" s="282"/>
      <c r="S21" s="282"/>
      <c r="T21" s="282"/>
      <c r="U21" s="254"/>
    </row>
    <row r="22" spans="2:21" s="240" customFormat="1" ht="15" customHeight="1" x14ac:dyDescent="0.25">
      <c r="B22" s="255" t="s">
        <v>305</v>
      </c>
      <c r="C22" s="274" t="s">
        <v>57</v>
      </c>
      <c r="D22" s="276" t="s">
        <v>219</v>
      </c>
      <c r="E22" s="276" t="s">
        <v>218</v>
      </c>
      <c r="F22" s="278"/>
      <c r="G22" s="241" t="s">
        <v>220</v>
      </c>
      <c r="H22" s="274" t="s">
        <v>57</v>
      </c>
      <c r="I22" s="276" t="s">
        <v>219</v>
      </c>
      <c r="J22" s="276" t="s">
        <v>218</v>
      </c>
      <c r="K22" s="278"/>
      <c r="L22" s="241" t="s">
        <v>220</v>
      </c>
      <c r="M22" s="274" t="s">
        <v>57</v>
      </c>
      <c r="N22" s="276" t="s">
        <v>240</v>
      </c>
      <c r="O22" s="276" t="s">
        <v>218</v>
      </c>
      <c r="P22" s="278"/>
      <c r="Q22" s="241" t="s">
        <v>220</v>
      </c>
      <c r="R22" s="289" t="s">
        <v>57</v>
      </c>
      <c r="S22" s="291" t="s">
        <v>240</v>
      </c>
      <c r="T22" s="283" t="s">
        <v>218</v>
      </c>
      <c r="U22" s="242" t="s">
        <v>220</v>
      </c>
    </row>
    <row r="23" spans="2:21" s="240" customFormat="1" ht="15.75" thickBot="1" x14ac:dyDescent="0.3">
      <c r="B23" s="256" t="s">
        <v>306</v>
      </c>
      <c r="C23" s="275"/>
      <c r="D23" s="277"/>
      <c r="E23" s="277"/>
      <c r="F23" s="279"/>
      <c r="G23" s="243"/>
      <c r="H23" s="275"/>
      <c r="I23" s="277"/>
      <c r="J23" s="277"/>
      <c r="K23" s="279"/>
      <c r="L23" s="243"/>
      <c r="M23" s="275"/>
      <c r="N23" s="277"/>
      <c r="O23" s="277"/>
      <c r="P23" s="279"/>
      <c r="Q23" s="243"/>
      <c r="R23" s="290"/>
      <c r="S23" s="292"/>
      <c r="T23" s="284"/>
      <c r="U23" s="244"/>
    </row>
    <row r="24" spans="2:21" s="240" customFormat="1" x14ac:dyDescent="0.25">
      <c r="B24" s="246">
        <v>75</v>
      </c>
      <c r="C24" s="257">
        <v>0.3</v>
      </c>
      <c r="D24" s="258">
        <v>-0.52</v>
      </c>
      <c r="E24" s="285">
        <v>4.5</v>
      </c>
      <c r="F24" s="286"/>
      <c r="G24" s="245">
        <f>AVERAGE(E24:F29)</f>
        <v>4.2166666666666659</v>
      </c>
      <c r="H24" s="257">
        <v>1.7</v>
      </c>
      <c r="I24" s="258">
        <v>0.23</v>
      </c>
      <c r="J24" s="285">
        <v>5.2</v>
      </c>
      <c r="K24" s="286"/>
      <c r="L24" s="246">
        <f>AVERAGE(J24:K29)</f>
        <v>5.25</v>
      </c>
      <c r="M24" s="257">
        <v>5</v>
      </c>
      <c r="N24" s="258">
        <v>0.7</v>
      </c>
      <c r="O24" s="285">
        <v>4.7</v>
      </c>
      <c r="P24" s="286"/>
      <c r="Q24" s="245">
        <f>AVERAGE(O24:P29)</f>
        <v>5</v>
      </c>
      <c r="R24" s="257">
        <v>1.2</v>
      </c>
      <c r="S24" s="257">
        <v>0.08</v>
      </c>
      <c r="T24" s="257">
        <v>5.4</v>
      </c>
      <c r="U24" s="247">
        <f>AVERAGE(T24:T29)</f>
        <v>5.4666666666666659</v>
      </c>
    </row>
    <row r="25" spans="2:21" s="240" customFormat="1" x14ac:dyDescent="0.25">
      <c r="B25" s="259"/>
      <c r="C25" s="257">
        <v>1</v>
      </c>
      <c r="D25" s="258">
        <v>0</v>
      </c>
      <c r="E25" s="287">
        <v>4</v>
      </c>
      <c r="F25" s="288"/>
      <c r="G25" s="246"/>
      <c r="H25" s="257">
        <v>1.3</v>
      </c>
      <c r="I25" s="258">
        <v>0.11</v>
      </c>
      <c r="J25" s="287">
        <v>5.3</v>
      </c>
      <c r="K25" s="288"/>
      <c r="L25" s="246"/>
      <c r="M25" s="257">
        <v>1.8</v>
      </c>
      <c r="N25" s="258">
        <v>0.26</v>
      </c>
      <c r="O25" s="287">
        <v>5.2</v>
      </c>
      <c r="P25" s="288"/>
      <c r="Q25" s="246"/>
      <c r="R25" s="257">
        <v>3</v>
      </c>
      <c r="S25" s="257">
        <v>0.48</v>
      </c>
      <c r="T25" s="257">
        <v>5</v>
      </c>
      <c r="U25" s="244"/>
    </row>
    <row r="26" spans="2:21" s="240" customFormat="1" x14ac:dyDescent="0.25">
      <c r="B26" s="259"/>
      <c r="C26" s="257">
        <v>1</v>
      </c>
      <c r="D26" s="258">
        <v>0</v>
      </c>
      <c r="E26" s="287">
        <v>4</v>
      </c>
      <c r="F26" s="288"/>
      <c r="G26" s="246"/>
      <c r="H26" s="257">
        <v>2</v>
      </c>
      <c r="I26" s="258">
        <v>0.3</v>
      </c>
      <c r="J26" s="287">
        <v>5.0999999999999996</v>
      </c>
      <c r="K26" s="288"/>
      <c r="L26" s="246"/>
      <c r="M26" s="257">
        <v>7</v>
      </c>
      <c r="N26" s="258">
        <v>0.85</v>
      </c>
      <c r="O26" s="287">
        <v>4.5999999999999996</v>
      </c>
      <c r="P26" s="288"/>
      <c r="Q26" s="246"/>
      <c r="R26" s="257">
        <v>1</v>
      </c>
      <c r="S26" s="257">
        <v>0</v>
      </c>
      <c r="T26" s="257">
        <v>5.4</v>
      </c>
      <c r="U26" s="244"/>
    </row>
    <row r="27" spans="2:21" s="240" customFormat="1" x14ac:dyDescent="0.25">
      <c r="B27" s="259"/>
      <c r="C27" s="257">
        <v>0.2</v>
      </c>
      <c r="D27" s="258">
        <v>-0.7</v>
      </c>
      <c r="E27" s="287">
        <v>4.7</v>
      </c>
      <c r="F27" s="288"/>
      <c r="G27" s="246"/>
      <c r="H27" s="257">
        <v>1</v>
      </c>
      <c r="I27" s="258">
        <v>0</v>
      </c>
      <c r="J27" s="287">
        <v>5.4</v>
      </c>
      <c r="K27" s="288"/>
      <c r="L27" s="246"/>
      <c r="M27" s="257">
        <v>2</v>
      </c>
      <c r="N27" s="258">
        <v>0.3</v>
      </c>
      <c r="O27" s="287">
        <v>5.0999999999999996</v>
      </c>
      <c r="P27" s="288"/>
      <c r="Q27" s="246"/>
      <c r="R27" s="257">
        <v>0.7</v>
      </c>
      <c r="S27" s="257">
        <v>-0.15</v>
      </c>
      <c r="T27" s="257">
        <v>5.6</v>
      </c>
      <c r="U27" s="244"/>
    </row>
    <row r="28" spans="2:21" s="240" customFormat="1" x14ac:dyDescent="0.25">
      <c r="B28" s="259"/>
      <c r="C28" s="257">
        <v>2</v>
      </c>
      <c r="D28" s="258">
        <v>0.3</v>
      </c>
      <c r="E28" s="287">
        <v>3.7</v>
      </c>
      <c r="F28" s="288"/>
      <c r="G28" s="246"/>
      <c r="H28" s="257">
        <v>1</v>
      </c>
      <c r="I28" s="258">
        <v>0</v>
      </c>
      <c r="J28" s="287">
        <v>5.4</v>
      </c>
      <c r="K28" s="288"/>
      <c r="L28" s="246"/>
      <c r="M28" s="257">
        <v>1.5</v>
      </c>
      <c r="N28" s="258">
        <v>0.18</v>
      </c>
      <c r="O28" s="287">
        <v>5.3</v>
      </c>
      <c r="P28" s="288"/>
      <c r="Q28" s="246"/>
      <c r="R28" s="257">
        <v>0.3</v>
      </c>
      <c r="S28" s="257">
        <v>-0.52</v>
      </c>
      <c r="T28" s="257">
        <v>6</v>
      </c>
      <c r="U28" s="244"/>
    </row>
    <row r="29" spans="2:21" s="240" customFormat="1" ht="15.75" thickBot="1" x14ac:dyDescent="0.3">
      <c r="B29" s="260"/>
      <c r="C29" s="248">
        <v>0.4</v>
      </c>
      <c r="D29" s="249">
        <v>-0.35</v>
      </c>
      <c r="E29" s="293">
        <v>4.4000000000000004</v>
      </c>
      <c r="F29" s="294"/>
      <c r="G29" s="243"/>
      <c r="H29" s="248">
        <v>2</v>
      </c>
      <c r="I29" s="249">
        <v>0.3</v>
      </c>
      <c r="J29" s="293">
        <v>5.0999999999999996</v>
      </c>
      <c r="K29" s="294"/>
      <c r="L29" s="243"/>
      <c r="M29" s="248">
        <v>2</v>
      </c>
      <c r="N29" s="249">
        <v>0.3</v>
      </c>
      <c r="O29" s="293">
        <v>5.0999999999999996</v>
      </c>
      <c r="P29" s="294"/>
      <c r="Q29" s="243"/>
      <c r="R29" s="248">
        <v>1</v>
      </c>
      <c r="S29" s="248">
        <v>0</v>
      </c>
      <c r="T29" s="248">
        <v>5.4</v>
      </c>
      <c r="U29" s="250"/>
    </row>
    <row r="30" spans="2:21" s="240" customFormat="1" x14ac:dyDescent="0.25">
      <c r="B30" s="246">
        <v>72</v>
      </c>
      <c r="C30" s="258">
        <v>79</v>
      </c>
      <c r="D30" s="258">
        <v>1.9</v>
      </c>
      <c r="E30" s="285">
        <v>2.1</v>
      </c>
      <c r="F30" s="286"/>
      <c r="G30" s="245">
        <f>AVERAGE(E30:F35)</f>
        <v>2.1833333333333331</v>
      </c>
      <c r="H30" s="258">
        <v>1370</v>
      </c>
      <c r="I30" s="258">
        <v>3.14</v>
      </c>
      <c r="J30" s="285">
        <v>2.2999999999999998</v>
      </c>
      <c r="K30" s="286"/>
      <c r="L30" s="245">
        <f>AVERAGE(J30:K35)</f>
        <v>2.4833333333333329</v>
      </c>
      <c r="M30" s="258">
        <v>1110</v>
      </c>
      <c r="N30" s="258">
        <v>3.05</v>
      </c>
      <c r="O30" s="285">
        <v>2.4</v>
      </c>
      <c r="P30" s="286"/>
      <c r="Q30" s="245">
        <f>AVERAGE(O30:P35)</f>
        <v>2.3333333333333335</v>
      </c>
      <c r="R30" s="257">
        <v>920</v>
      </c>
      <c r="S30" s="257">
        <v>2.96</v>
      </c>
      <c r="T30" s="257">
        <v>2.5</v>
      </c>
      <c r="U30" s="245">
        <f>AVERAGE(T30:T35)</f>
        <v>2.4333333333333336</v>
      </c>
    </row>
    <row r="31" spans="2:21" s="240" customFormat="1" x14ac:dyDescent="0.25">
      <c r="B31" s="259"/>
      <c r="C31" s="258">
        <v>80</v>
      </c>
      <c r="D31" s="258">
        <v>1.9</v>
      </c>
      <c r="E31" s="287">
        <v>2.1</v>
      </c>
      <c r="F31" s="288"/>
      <c r="G31" s="246"/>
      <c r="H31" s="258">
        <v>820</v>
      </c>
      <c r="I31" s="258">
        <v>2.91</v>
      </c>
      <c r="J31" s="287">
        <v>2.5</v>
      </c>
      <c r="K31" s="288"/>
      <c r="L31" s="246"/>
      <c r="M31" s="258">
        <v>1210</v>
      </c>
      <c r="N31" s="258">
        <v>3.08</v>
      </c>
      <c r="O31" s="287">
        <v>2.4</v>
      </c>
      <c r="P31" s="288"/>
      <c r="Q31" s="246"/>
      <c r="R31" s="257">
        <v>1150</v>
      </c>
      <c r="S31" s="257">
        <v>3.06</v>
      </c>
      <c r="T31" s="257">
        <v>2.4</v>
      </c>
      <c r="U31" s="244"/>
    </row>
    <row r="32" spans="2:21" s="240" customFormat="1" x14ac:dyDescent="0.25">
      <c r="B32" s="259"/>
      <c r="C32" s="258">
        <v>65</v>
      </c>
      <c r="D32" s="258">
        <v>1.81</v>
      </c>
      <c r="E32" s="287">
        <v>2.2000000000000002</v>
      </c>
      <c r="F32" s="288"/>
      <c r="G32" s="246"/>
      <c r="H32" s="258">
        <v>1240</v>
      </c>
      <c r="I32" s="258">
        <v>3.09</v>
      </c>
      <c r="J32" s="287">
        <v>2.2999999999999998</v>
      </c>
      <c r="K32" s="288"/>
      <c r="L32" s="246"/>
      <c r="M32" s="258">
        <v>1190</v>
      </c>
      <c r="N32" s="258">
        <v>3.08</v>
      </c>
      <c r="O32" s="287">
        <v>2.4</v>
      </c>
      <c r="P32" s="288"/>
      <c r="Q32" s="246"/>
      <c r="R32" s="257">
        <v>950</v>
      </c>
      <c r="S32" s="257">
        <v>2.98</v>
      </c>
      <c r="T32" s="257">
        <v>2.5</v>
      </c>
      <c r="U32" s="244"/>
    </row>
    <row r="33" spans="2:21" s="240" customFormat="1" x14ac:dyDescent="0.25">
      <c r="B33" s="259"/>
      <c r="C33" s="258">
        <v>50</v>
      </c>
      <c r="D33" s="258">
        <v>1.7</v>
      </c>
      <c r="E33" s="287">
        <v>2.2999999999999998</v>
      </c>
      <c r="F33" s="288"/>
      <c r="G33" s="246"/>
      <c r="H33" s="258">
        <v>960</v>
      </c>
      <c r="I33" s="258">
        <v>2.98</v>
      </c>
      <c r="J33" s="287">
        <v>2.5</v>
      </c>
      <c r="K33" s="288"/>
      <c r="L33" s="246"/>
      <c r="M33" s="258">
        <v>1380</v>
      </c>
      <c r="N33" s="258">
        <v>3.14</v>
      </c>
      <c r="O33" s="287">
        <v>2.2999999999999998</v>
      </c>
      <c r="P33" s="288"/>
      <c r="Q33" s="246"/>
      <c r="R33" s="257">
        <v>1030</v>
      </c>
      <c r="S33" s="257">
        <v>3.01</v>
      </c>
      <c r="T33" s="257">
        <v>2.4</v>
      </c>
      <c r="U33" s="244"/>
    </row>
    <row r="34" spans="2:21" s="240" customFormat="1" x14ac:dyDescent="0.25">
      <c r="B34" s="259"/>
      <c r="C34" s="258">
        <v>79</v>
      </c>
      <c r="D34" s="258">
        <v>1.9</v>
      </c>
      <c r="E34" s="287">
        <v>2.1</v>
      </c>
      <c r="F34" s="288"/>
      <c r="G34" s="246"/>
      <c r="H34" s="258">
        <v>480</v>
      </c>
      <c r="I34" s="258">
        <v>2.68</v>
      </c>
      <c r="J34" s="287">
        <v>2.8</v>
      </c>
      <c r="K34" s="288"/>
      <c r="L34" s="246"/>
      <c r="M34" s="258">
        <v>1300</v>
      </c>
      <c r="N34" s="258">
        <v>3.11</v>
      </c>
      <c r="O34" s="287">
        <v>2.2999999999999998</v>
      </c>
      <c r="P34" s="288"/>
      <c r="Q34" s="246"/>
      <c r="R34" s="257">
        <v>1020</v>
      </c>
      <c r="S34" s="257">
        <v>3.01</v>
      </c>
      <c r="T34" s="257">
        <v>2.4</v>
      </c>
      <c r="U34" s="244"/>
    </row>
    <row r="35" spans="2:21" s="240" customFormat="1" ht="15.75" thickBot="1" x14ac:dyDescent="0.3">
      <c r="B35" s="260"/>
      <c r="C35" s="249">
        <v>47</v>
      </c>
      <c r="D35" s="249">
        <v>1.67</v>
      </c>
      <c r="E35" s="293">
        <v>2.2999999999999998</v>
      </c>
      <c r="F35" s="294"/>
      <c r="G35" s="243"/>
      <c r="H35" s="249">
        <v>950</v>
      </c>
      <c r="I35" s="249">
        <v>2.98</v>
      </c>
      <c r="J35" s="293">
        <v>2.5</v>
      </c>
      <c r="K35" s="294"/>
      <c r="L35" s="243"/>
      <c r="M35" s="249">
        <v>1530</v>
      </c>
      <c r="N35" s="249">
        <v>3.18</v>
      </c>
      <c r="O35" s="293">
        <v>2.2000000000000002</v>
      </c>
      <c r="P35" s="294"/>
      <c r="Q35" s="243"/>
      <c r="R35" s="248">
        <v>1170</v>
      </c>
      <c r="S35" s="248">
        <v>3.07</v>
      </c>
      <c r="T35" s="248">
        <v>2.4</v>
      </c>
      <c r="U35" s="244"/>
    </row>
    <row r="36" spans="2:21" s="240" customFormat="1" x14ac:dyDescent="0.25">
      <c r="B36" s="246">
        <v>69</v>
      </c>
      <c r="C36" s="258">
        <v>2030</v>
      </c>
      <c r="D36" s="258">
        <v>3.31</v>
      </c>
      <c r="E36" s="285">
        <v>0.7</v>
      </c>
      <c r="F36" s="286"/>
      <c r="G36" s="245">
        <f>AVERAGE(E36:F41)</f>
        <v>0.71666666666666679</v>
      </c>
      <c r="H36" s="258">
        <v>38000</v>
      </c>
      <c r="I36" s="258">
        <v>4.58</v>
      </c>
      <c r="J36" s="285">
        <v>0.9</v>
      </c>
      <c r="K36" s="286"/>
      <c r="L36" s="245">
        <f>AVERAGE(J36:K41)</f>
        <v>0.85</v>
      </c>
      <c r="M36" s="258">
        <v>23500</v>
      </c>
      <c r="N36" s="258">
        <v>4.37</v>
      </c>
      <c r="O36" s="285">
        <v>1.1000000000000001</v>
      </c>
      <c r="P36" s="286"/>
      <c r="Q36" s="245">
        <f>AVERAGE(O36:P41)</f>
        <v>1.0333333333333334</v>
      </c>
      <c r="R36" s="257">
        <v>29700</v>
      </c>
      <c r="S36" s="257">
        <v>4.47</v>
      </c>
      <c r="T36" s="257">
        <v>1</v>
      </c>
      <c r="U36" s="247">
        <f>AVERAGE(T36:T41)</f>
        <v>0.98333333333333339</v>
      </c>
    </row>
    <row r="37" spans="2:21" s="240" customFormat="1" x14ac:dyDescent="0.25">
      <c r="B37" s="259"/>
      <c r="C37" s="258">
        <v>1610</v>
      </c>
      <c r="D37" s="258">
        <v>3.21</v>
      </c>
      <c r="E37" s="287">
        <v>0.8</v>
      </c>
      <c r="F37" s="288"/>
      <c r="G37" s="246"/>
      <c r="H37" s="258">
        <v>51000</v>
      </c>
      <c r="I37" s="258">
        <v>4.71</v>
      </c>
      <c r="J37" s="287">
        <v>0.7</v>
      </c>
      <c r="K37" s="288"/>
      <c r="L37" s="246"/>
      <c r="M37" s="258">
        <v>26700</v>
      </c>
      <c r="N37" s="258">
        <v>4.43</v>
      </c>
      <c r="O37" s="287">
        <v>1</v>
      </c>
      <c r="P37" s="288"/>
      <c r="Q37" s="246"/>
      <c r="R37" s="257">
        <v>27600</v>
      </c>
      <c r="S37" s="257">
        <v>4.4400000000000004</v>
      </c>
      <c r="T37" s="257">
        <v>1</v>
      </c>
      <c r="U37" s="244"/>
    </row>
    <row r="38" spans="2:21" s="240" customFormat="1" x14ac:dyDescent="0.25">
      <c r="B38" s="259"/>
      <c r="C38" s="258">
        <v>1930</v>
      </c>
      <c r="D38" s="258">
        <v>3.29</v>
      </c>
      <c r="E38" s="287">
        <v>0.7</v>
      </c>
      <c r="F38" s="288"/>
      <c r="G38" s="246"/>
      <c r="H38" s="258">
        <v>53000</v>
      </c>
      <c r="I38" s="258">
        <v>4.72</v>
      </c>
      <c r="J38" s="287">
        <v>0.7</v>
      </c>
      <c r="K38" s="288"/>
      <c r="L38" s="246"/>
      <c r="M38" s="258">
        <v>23500</v>
      </c>
      <c r="N38" s="258">
        <v>4.37</v>
      </c>
      <c r="O38" s="287">
        <v>1.1000000000000001</v>
      </c>
      <c r="P38" s="288"/>
      <c r="Q38" s="246"/>
      <c r="R38" s="257">
        <v>26500</v>
      </c>
      <c r="S38" s="257">
        <v>4.42</v>
      </c>
      <c r="T38" s="257">
        <v>1</v>
      </c>
      <c r="U38" s="244"/>
    </row>
    <row r="39" spans="2:21" s="240" customFormat="1" x14ac:dyDescent="0.25">
      <c r="B39" s="259"/>
      <c r="C39" s="258">
        <v>1920</v>
      </c>
      <c r="D39" s="258">
        <v>3.28</v>
      </c>
      <c r="E39" s="287">
        <v>0.7</v>
      </c>
      <c r="F39" s="288"/>
      <c r="G39" s="246"/>
      <c r="H39" s="258">
        <v>38000</v>
      </c>
      <c r="I39" s="258">
        <v>4.58</v>
      </c>
      <c r="J39" s="287">
        <v>0.9</v>
      </c>
      <c r="K39" s="288"/>
      <c r="L39" s="246"/>
      <c r="M39" s="258">
        <v>27200</v>
      </c>
      <c r="N39" s="258">
        <v>4.43</v>
      </c>
      <c r="O39" s="287">
        <v>1</v>
      </c>
      <c r="P39" s="288"/>
      <c r="Q39" s="246"/>
      <c r="R39" s="257">
        <v>26100</v>
      </c>
      <c r="S39" s="257">
        <v>4.42</v>
      </c>
      <c r="T39" s="257">
        <v>1</v>
      </c>
      <c r="U39" s="244"/>
    </row>
    <row r="40" spans="2:21" s="240" customFormat="1" x14ac:dyDescent="0.25">
      <c r="B40" s="259"/>
      <c r="C40" s="258">
        <v>1980</v>
      </c>
      <c r="D40" s="258">
        <v>3.3</v>
      </c>
      <c r="E40" s="287">
        <v>0.7</v>
      </c>
      <c r="F40" s="288"/>
      <c r="G40" s="246"/>
      <c r="H40" s="258">
        <v>43000</v>
      </c>
      <c r="I40" s="258">
        <v>4.63</v>
      </c>
      <c r="J40" s="287">
        <v>0.8</v>
      </c>
      <c r="K40" s="288"/>
      <c r="L40" s="246"/>
      <c r="M40" s="258">
        <v>24500</v>
      </c>
      <c r="N40" s="258">
        <v>4.3899999999999997</v>
      </c>
      <c r="O40" s="287">
        <v>1</v>
      </c>
      <c r="P40" s="288"/>
      <c r="Q40" s="246"/>
      <c r="R40" s="257">
        <v>28900</v>
      </c>
      <c r="S40" s="257">
        <v>4.46</v>
      </c>
      <c r="T40" s="257">
        <v>1</v>
      </c>
      <c r="U40" s="244"/>
    </row>
    <row r="41" spans="2:21" s="240" customFormat="1" ht="15.75" thickBot="1" x14ac:dyDescent="0.3">
      <c r="B41" s="260"/>
      <c r="C41" s="249">
        <v>1950</v>
      </c>
      <c r="D41" s="249">
        <v>3.29</v>
      </c>
      <c r="E41" s="293">
        <v>0.7</v>
      </c>
      <c r="F41" s="294"/>
      <c r="G41" s="243"/>
      <c r="H41" s="249">
        <v>21000</v>
      </c>
      <c r="I41" s="249">
        <v>4.32</v>
      </c>
      <c r="J41" s="293">
        <v>1.1000000000000001</v>
      </c>
      <c r="K41" s="294"/>
      <c r="L41" s="243"/>
      <c r="M41" s="249">
        <v>26800</v>
      </c>
      <c r="N41" s="249">
        <v>4.43</v>
      </c>
      <c r="O41" s="293">
        <v>1</v>
      </c>
      <c r="P41" s="294"/>
      <c r="Q41" s="243"/>
      <c r="R41" s="248">
        <v>31300</v>
      </c>
      <c r="S41" s="248">
        <v>4.5</v>
      </c>
      <c r="T41" s="248">
        <v>0.9</v>
      </c>
      <c r="U41" s="250"/>
    </row>
  </sheetData>
  <mergeCells count="71">
    <mergeCell ref="E40:F40"/>
    <mergeCell ref="J40:K40"/>
    <mergeCell ref="O40:P40"/>
    <mergeCell ref="E41:F41"/>
    <mergeCell ref="J41:K41"/>
    <mergeCell ref="O41:P41"/>
    <mergeCell ref="E38:F38"/>
    <mergeCell ref="J38:K38"/>
    <mergeCell ref="O38:P38"/>
    <mergeCell ref="E39:F39"/>
    <mergeCell ref="J39:K39"/>
    <mergeCell ref="O39:P39"/>
    <mergeCell ref="E36:F36"/>
    <mergeCell ref="J36:K36"/>
    <mergeCell ref="O36:P36"/>
    <mergeCell ref="E37:F37"/>
    <mergeCell ref="J37:K37"/>
    <mergeCell ref="O37:P37"/>
    <mergeCell ref="E34:F34"/>
    <mergeCell ref="J34:K34"/>
    <mergeCell ref="O34:P34"/>
    <mergeCell ref="E35:F35"/>
    <mergeCell ref="J35:K35"/>
    <mergeCell ref="O35:P35"/>
    <mergeCell ref="E32:F32"/>
    <mergeCell ref="J32:K32"/>
    <mergeCell ref="O32:P32"/>
    <mergeCell ref="E33:F33"/>
    <mergeCell ref="J33:K33"/>
    <mergeCell ref="O33:P33"/>
    <mergeCell ref="E30:F30"/>
    <mergeCell ref="J30:K30"/>
    <mergeCell ref="O30:P30"/>
    <mergeCell ref="E31:F31"/>
    <mergeCell ref="J31:K31"/>
    <mergeCell ref="O31:P31"/>
    <mergeCell ref="E28:F28"/>
    <mergeCell ref="J28:K28"/>
    <mergeCell ref="O28:P28"/>
    <mergeCell ref="E29:F29"/>
    <mergeCell ref="J29:K29"/>
    <mergeCell ref="O29:P29"/>
    <mergeCell ref="E26:F26"/>
    <mergeCell ref="J26:K26"/>
    <mergeCell ref="O26:P26"/>
    <mergeCell ref="E27:F27"/>
    <mergeCell ref="J27:K27"/>
    <mergeCell ref="O27:P27"/>
    <mergeCell ref="T22:T23"/>
    <mergeCell ref="E24:F24"/>
    <mergeCell ref="J24:K24"/>
    <mergeCell ref="O24:P24"/>
    <mergeCell ref="E25:F25"/>
    <mergeCell ref="J25:K25"/>
    <mergeCell ref="O25:P25"/>
    <mergeCell ref="J22:K23"/>
    <mergeCell ref="M22:M23"/>
    <mergeCell ref="N22:N23"/>
    <mergeCell ref="O22:P23"/>
    <mergeCell ref="R22:R23"/>
    <mergeCell ref="S22:S23"/>
    <mergeCell ref="C20:T20"/>
    <mergeCell ref="C21:E21"/>
    <mergeCell ref="F21:J21"/>
    <mergeCell ref="K21:O21"/>
    <mergeCell ref="P21:T21"/>
    <mergeCell ref="C22:C23"/>
    <mergeCell ref="D22:D23"/>
    <mergeCell ref="E22:F23"/>
    <mergeCell ref="H22:H23"/>
    <mergeCell ref="I22:I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44"/>
  <sheetViews>
    <sheetView zoomScaleNormal="100" workbookViewId="0"/>
  </sheetViews>
  <sheetFormatPr defaultRowHeight="15" x14ac:dyDescent="0.25"/>
  <cols>
    <col min="2" max="2" width="44.28515625" bestFit="1" customWidth="1"/>
    <col min="3" max="3" width="18.140625" customWidth="1"/>
    <col min="4" max="4" width="20.28515625" customWidth="1"/>
    <col min="5" max="5" width="23.5703125" customWidth="1"/>
    <col min="6" max="6" width="21.140625" customWidth="1"/>
    <col min="7" max="7" width="20.28515625" customWidth="1"/>
    <col min="8" max="8" width="23.5703125" customWidth="1"/>
    <col min="9" max="9" width="23.28515625" customWidth="1"/>
    <col min="10" max="15" width="23.85546875" customWidth="1"/>
    <col min="16" max="16" width="18" style="4" bestFit="1" customWidth="1"/>
    <col min="18" max="18" width="28.28515625" style="4" customWidth="1"/>
    <col min="19" max="20" width="23.28515625" style="4" customWidth="1"/>
    <col min="21" max="22" width="14.5703125" style="4" customWidth="1"/>
    <col min="23" max="23" width="9.140625" style="4"/>
    <col min="24" max="24" width="29" style="4" customWidth="1"/>
    <col min="25" max="26" width="23.5703125" style="4" customWidth="1"/>
    <col min="27" max="28" width="16.28515625" style="4" customWidth="1"/>
    <col min="30" max="30" width="27.7109375" customWidth="1"/>
    <col min="31" max="32" width="26.28515625" customWidth="1"/>
    <col min="33" max="34" width="19" customWidth="1"/>
    <col min="36" max="36" width="27.7109375" customWidth="1"/>
    <col min="37" max="38" width="21.5703125" customWidth="1"/>
    <col min="39" max="40" width="18.42578125" customWidth="1"/>
    <col min="42" max="44" width="26" customWidth="1"/>
    <col min="45" max="46" width="23.85546875" customWidth="1"/>
  </cols>
  <sheetData>
    <row r="1" spans="1:46" ht="23.25" x14ac:dyDescent="0.35">
      <c r="A1" s="76"/>
    </row>
    <row r="2" spans="1:46" ht="24" thickBot="1" x14ac:dyDescent="0.4">
      <c r="B2" s="3" t="s">
        <v>58</v>
      </c>
      <c r="C2" s="4"/>
      <c r="D2" s="4"/>
      <c r="E2" s="4"/>
      <c r="F2" s="4"/>
      <c r="G2" s="4"/>
      <c r="H2" s="4"/>
      <c r="R2" s="96" t="s">
        <v>195</v>
      </c>
    </row>
    <row r="3" spans="1:46" ht="15.75" thickBot="1" x14ac:dyDescent="0.3">
      <c r="B3" s="4"/>
      <c r="C3" s="4"/>
      <c r="D3" s="4"/>
      <c r="E3" s="4"/>
      <c r="F3" s="4"/>
      <c r="G3" s="4"/>
      <c r="H3" s="4"/>
      <c r="R3" s="102" t="s">
        <v>196</v>
      </c>
      <c r="S3" s="103" t="s">
        <v>198</v>
      </c>
      <c r="T3" s="104" t="s">
        <v>215</v>
      </c>
      <c r="U3" s="104" t="s">
        <v>197</v>
      </c>
      <c r="V3" s="103" t="s">
        <v>2</v>
      </c>
      <c r="X3" s="102" t="s">
        <v>196</v>
      </c>
      <c r="Y3" s="103" t="s">
        <v>199</v>
      </c>
      <c r="Z3" s="104" t="s">
        <v>215</v>
      </c>
      <c r="AA3" s="104" t="s">
        <v>197</v>
      </c>
      <c r="AB3" s="103" t="s">
        <v>2</v>
      </c>
      <c r="AD3" s="102" t="s">
        <v>196</v>
      </c>
      <c r="AE3" s="103" t="s">
        <v>200</v>
      </c>
      <c r="AF3" s="104" t="s">
        <v>215</v>
      </c>
      <c r="AG3" s="104" t="s">
        <v>197</v>
      </c>
      <c r="AH3" s="103" t="s">
        <v>2</v>
      </c>
      <c r="AJ3" s="102" t="s">
        <v>196</v>
      </c>
      <c r="AK3" s="103" t="s">
        <v>201</v>
      </c>
      <c r="AL3" s="104" t="s">
        <v>215</v>
      </c>
      <c r="AM3" s="104" t="s">
        <v>197</v>
      </c>
      <c r="AN3" s="103" t="s">
        <v>2</v>
      </c>
      <c r="AP3" s="102" t="s">
        <v>196</v>
      </c>
      <c r="AQ3" s="103" t="s">
        <v>202</v>
      </c>
      <c r="AR3" s="104" t="s">
        <v>215</v>
      </c>
      <c r="AS3" s="104" t="s">
        <v>197</v>
      </c>
      <c r="AT3" s="103" t="s">
        <v>2</v>
      </c>
    </row>
    <row r="4" spans="1:46" ht="15.75" thickBot="1" x14ac:dyDescent="0.3">
      <c r="B4" s="27" t="s">
        <v>18</v>
      </c>
      <c r="C4" s="28" t="s">
        <v>19</v>
      </c>
      <c r="D4" s="27" t="s">
        <v>20</v>
      </c>
      <c r="E4" s="28" t="s">
        <v>21</v>
      </c>
      <c r="F4" s="27" t="s">
        <v>22</v>
      </c>
      <c r="G4" s="28" t="s">
        <v>23</v>
      </c>
      <c r="H4" s="27" t="s">
        <v>24</v>
      </c>
      <c r="J4" s="7" t="s">
        <v>89</v>
      </c>
      <c r="K4" s="7" t="s">
        <v>240</v>
      </c>
      <c r="L4" s="7" t="s">
        <v>241</v>
      </c>
      <c r="M4" s="7" t="s">
        <v>242</v>
      </c>
      <c r="N4" s="7" t="s">
        <v>218</v>
      </c>
      <c r="O4" s="25" t="s">
        <v>243</v>
      </c>
      <c r="P4" s="130" t="s">
        <v>218</v>
      </c>
      <c r="R4" s="97">
        <v>0</v>
      </c>
      <c r="S4" s="101">
        <v>167.2</v>
      </c>
      <c r="T4" s="123">
        <f>(S4-32)*0.556</f>
        <v>75.171199999999999</v>
      </c>
      <c r="U4" s="98">
        <v>151</v>
      </c>
      <c r="V4" s="80">
        <f>U4*3.785</f>
        <v>571.53499999999997</v>
      </c>
      <c r="X4" s="97">
        <v>0</v>
      </c>
      <c r="Y4" s="101">
        <v>161.4</v>
      </c>
      <c r="Z4" s="123">
        <f>(Y4-32)*0.556</f>
        <v>71.946400000000011</v>
      </c>
      <c r="AA4" s="98">
        <v>153</v>
      </c>
      <c r="AB4" s="80">
        <f>AA4*3.785</f>
        <v>579.10500000000002</v>
      </c>
      <c r="AD4" s="97">
        <v>0</v>
      </c>
      <c r="AE4" s="101">
        <v>156</v>
      </c>
      <c r="AF4" s="123">
        <f>(AE4-32)*0.556</f>
        <v>68.944000000000003</v>
      </c>
      <c r="AG4" s="98">
        <v>149</v>
      </c>
      <c r="AH4" s="80">
        <f>AG4*3.785</f>
        <v>563.96500000000003</v>
      </c>
      <c r="AJ4" s="97">
        <v>0</v>
      </c>
      <c r="AK4" s="101">
        <v>150.9</v>
      </c>
      <c r="AL4" s="123">
        <f>(AK4-32)*0.556</f>
        <v>66.108400000000003</v>
      </c>
      <c r="AM4" s="98">
        <v>151</v>
      </c>
      <c r="AN4" s="80">
        <f>AM4*3.785</f>
        <v>571.53499999999997</v>
      </c>
      <c r="AP4" s="97">
        <v>0</v>
      </c>
      <c r="AQ4" s="101">
        <v>77.5</v>
      </c>
      <c r="AR4" s="123">
        <f>(AQ4-32)*0.556</f>
        <v>25.298000000000002</v>
      </c>
      <c r="AS4" s="98">
        <v>159</v>
      </c>
      <c r="AT4" s="80">
        <f>AS4*3.785</f>
        <v>601.81500000000005</v>
      </c>
    </row>
    <row r="5" spans="1:46" x14ac:dyDescent="0.25">
      <c r="B5" s="29">
        <v>42116</v>
      </c>
      <c r="C5" s="30" t="s">
        <v>59</v>
      </c>
      <c r="D5" s="31">
        <v>6</v>
      </c>
      <c r="E5" s="30">
        <v>75</v>
      </c>
      <c r="F5" s="31">
        <v>355</v>
      </c>
      <c r="G5" s="30">
        <v>5</v>
      </c>
      <c r="H5" s="32">
        <v>0</v>
      </c>
      <c r="J5" s="154">
        <v>0</v>
      </c>
      <c r="K5" s="141"/>
      <c r="L5" s="140">
        <f>AVERAGE(K5:K10)</f>
        <v>-0.30989437914419699</v>
      </c>
      <c r="M5" s="140">
        <f>_xlfn.STDEV.S(K5:K10)</f>
        <v>0.30120537916316709</v>
      </c>
      <c r="N5" s="140">
        <f>$L$37-L5</f>
        <v>5.2734206018671648</v>
      </c>
      <c r="O5" s="148">
        <f>M5+$M$37</f>
        <v>0.43130413572492443</v>
      </c>
      <c r="P5" s="162">
        <f>$P$37-LOG10(AVERAGE(J5:J10))</f>
        <v>5.7162563552830292</v>
      </c>
      <c r="R5" s="97">
        <f>R4+30</f>
        <v>30</v>
      </c>
      <c r="S5" s="101">
        <v>167</v>
      </c>
      <c r="T5" s="120">
        <f t="shared" ref="T5:T18" si="0">(S5-32)*0.556</f>
        <v>75.06</v>
      </c>
      <c r="U5" s="98">
        <v>151</v>
      </c>
      <c r="V5" s="80">
        <f t="shared" ref="V5:V18" si="1">U5*3.785</f>
        <v>571.53499999999997</v>
      </c>
      <c r="X5" s="97">
        <f t="shared" ref="X5:X18" si="2">X4+30</f>
        <v>30</v>
      </c>
      <c r="Y5" s="101">
        <v>161.69999999999999</v>
      </c>
      <c r="Z5" s="120">
        <f t="shared" ref="Z5:Z14" si="3">(Y5-32)*0.556</f>
        <v>72.113200000000006</v>
      </c>
      <c r="AA5" s="98">
        <v>153</v>
      </c>
      <c r="AB5" s="80">
        <f t="shared" ref="AB5:AB14" si="4">AA5*3.785</f>
        <v>579.10500000000002</v>
      </c>
      <c r="AD5" s="97">
        <f t="shared" ref="AD5:AD18" si="5">AD4+30</f>
        <v>30</v>
      </c>
      <c r="AE5" s="101">
        <v>156</v>
      </c>
      <c r="AF5" s="120">
        <f t="shared" ref="AF5:AF14" si="6">(AE5-32)*0.556</f>
        <v>68.944000000000003</v>
      </c>
      <c r="AG5" s="98">
        <v>152</v>
      </c>
      <c r="AH5" s="80">
        <f t="shared" ref="AH5:AH14" si="7">AG5*3.785</f>
        <v>575.32000000000005</v>
      </c>
      <c r="AJ5" s="97">
        <f t="shared" ref="AJ5:AJ18" si="8">AJ4+30</f>
        <v>30</v>
      </c>
      <c r="AK5" s="101">
        <v>150.9</v>
      </c>
      <c r="AL5" s="120">
        <f t="shared" ref="AL5:AL14" si="9">(AK5-32)*0.556</f>
        <v>66.108400000000003</v>
      </c>
      <c r="AM5" s="98">
        <v>152</v>
      </c>
      <c r="AN5" s="80">
        <f t="shared" ref="AN5:AN14" si="10">AM5*3.785</f>
        <v>575.32000000000005</v>
      </c>
      <c r="AP5" s="97">
        <f t="shared" ref="AP5:AP18" si="11">AP4+30</f>
        <v>30</v>
      </c>
      <c r="AQ5" s="101">
        <v>77.400000000000006</v>
      </c>
      <c r="AR5" s="120">
        <f t="shared" ref="AR5:AR14" si="12">(AQ5-32)*0.556</f>
        <v>25.242400000000007</v>
      </c>
      <c r="AS5" s="98">
        <v>149</v>
      </c>
      <c r="AT5" s="80">
        <f t="shared" ref="AT5:AT14" si="13">AS5*3.785</f>
        <v>563.96500000000003</v>
      </c>
    </row>
    <row r="6" spans="1:46" x14ac:dyDescent="0.25">
      <c r="B6" s="22"/>
      <c r="C6" s="10" t="s">
        <v>60</v>
      </c>
      <c r="D6" s="9"/>
      <c r="E6" s="10"/>
      <c r="F6" s="9"/>
      <c r="G6" s="10"/>
      <c r="H6" s="21">
        <v>10</v>
      </c>
      <c r="J6" s="155">
        <v>0</v>
      </c>
      <c r="K6" s="141"/>
      <c r="L6" s="11"/>
      <c r="M6" s="11"/>
      <c r="N6" s="11"/>
      <c r="O6" s="11"/>
      <c r="R6" s="97">
        <f t="shared" ref="R6:R18" si="14">R5+30</f>
        <v>60</v>
      </c>
      <c r="S6" s="101">
        <v>167</v>
      </c>
      <c r="T6" s="120">
        <f t="shared" si="0"/>
        <v>75.06</v>
      </c>
      <c r="U6" s="98">
        <v>150</v>
      </c>
      <c r="V6" s="80">
        <f t="shared" si="1"/>
        <v>567.75</v>
      </c>
      <c r="X6" s="97">
        <f t="shared" si="2"/>
        <v>60</v>
      </c>
      <c r="Y6" s="101">
        <v>161.80000000000001</v>
      </c>
      <c r="Z6" s="120">
        <f t="shared" si="3"/>
        <v>72.168800000000019</v>
      </c>
      <c r="AA6" s="98">
        <v>150</v>
      </c>
      <c r="AB6" s="80">
        <f t="shared" si="4"/>
        <v>567.75</v>
      </c>
      <c r="AD6" s="97">
        <f t="shared" si="5"/>
        <v>60</v>
      </c>
      <c r="AE6" s="101">
        <v>156.1</v>
      </c>
      <c r="AF6" s="120">
        <f t="shared" si="6"/>
        <v>68.999600000000001</v>
      </c>
      <c r="AG6" s="98">
        <v>151</v>
      </c>
      <c r="AH6" s="80">
        <f t="shared" si="7"/>
        <v>571.53499999999997</v>
      </c>
      <c r="AJ6" s="97">
        <f t="shared" si="8"/>
        <v>60</v>
      </c>
      <c r="AK6" s="101">
        <v>150.9</v>
      </c>
      <c r="AL6" s="120">
        <f t="shared" si="9"/>
        <v>66.108400000000003</v>
      </c>
      <c r="AM6" s="98">
        <v>151</v>
      </c>
      <c r="AN6" s="80">
        <f t="shared" si="10"/>
        <v>571.53499999999997</v>
      </c>
      <c r="AP6" s="97">
        <f t="shared" si="11"/>
        <v>60</v>
      </c>
      <c r="AQ6" s="101">
        <v>77.400000000000006</v>
      </c>
      <c r="AR6" s="120">
        <f t="shared" si="12"/>
        <v>25.242400000000007</v>
      </c>
      <c r="AS6" s="98">
        <v>150</v>
      </c>
      <c r="AT6" s="80">
        <f t="shared" si="13"/>
        <v>567.75</v>
      </c>
    </row>
    <row r="7" spans="1:46" x14ac:dyDescent="0.25">
      <c r="B7" s="22"/>
      <c r="C7" s="10" t="s">
        <v>61</v>
      </c>
      <c r="D7" s="9"/>
      <c r="E7" s="10"/>
      <c r="F7" s="9"/>
      <c r="G7" s="10"/>
      <c r="H7" s="21">
        <v>20</v>
      </c>
      <c r="J7" s="155">
        <v>0</v>
      </c>
      <c r="K7" s="141"/>
      <c r="L7" s="11"/>
      <c r="M7" s="11"/>
      <c r="N7" s="11"/>
      <c r="O7" s="11"/>
      <c r="R7" s="97">
        <f t="shared" si="14"/>
        <v>90</v>
      </c>
      <c r="S7" s="101">
        <v>167.1</v>
      </c>
      <c r="T7" s="120">
        <f t="shared" si="0"/>
        <v>75.115600000000001</v>
      </c>
      <c r="U7" s="98">
        <v>151</v>
      </c>
      <c r="V7" s="80">
        <f t="shared" si="1"/>
        <v>571.53499999999997</v>
      </c>
      <c r="X7" s="97">
        <f t="shared" si="2"/>
        <v>90</v>
      </c>
      <c r="Y7" s="101">
        <v>161.9</v>
      </c>
      <c r="Z7" s="120">
        <f t="shared" si="3"/>
        <v>72.224400000000003</v>
      </c>
      <c r="AA7" s="98">
        <v>150</v>
      </c>
      <c r="AB7" s="80">
        <f t="shared" si="4"/>
        <v>567.75</v>
      </c>
      <c r="AD7" s="97">
        <f t="shared" si="5"/>
        <v>90</v>
      </c>
      <c r="AE7" s="101">
        <v>156</v>
      </c>
      <c r="AF7" s="120">
        <f t="shared" si="6"/>
        <v>68.944000000000003</v>
      </c>
      <c r="AG7" s="98">
        <v>149</v>
      </c>
      <c r="AH7" s="80">
        <f t="shared" si="7"/>
        <v>563.96500000000003</v>
      </c>
      <c r="AJ7" s="97">
        <f t="shared" si="8"/>
        <v>90</v>
      </c>
      <c r="AK7" s="101">
        <v>151</v>
      </c>
      <c r="AL7" s="120">
        <f t="shared" si="9"/>
        <v>66.164000000000001</v>
      </c>
      <c r="AM7" s="98">
        <v>149</v>
      </c>
      <c r="AN7" s="80">
        <f t="shared" si="10"/>
        <v>563.96500000000003</v>
      </c>
      <c r="AP7" s="97">
        <f t="shared" si="11"/>
        <v>90</v>
      </c>
      <c r="AQ7" s="101">
        <v>77.400000000000006</v>
      </c>
      <c r="AR7" s="120">
        <f t="shared" si="12"/>
        <v>25.242400000000007</v>
      </c>
      <c r="AS7" s="98">
        <v>150</v>
      </c>
      <c r="AT7" s="80">
        <f t="shared" si="13"/>
        <v>567.75</v>
      </c>
    </row>
    <row r="8" spans="1:46" x14ac:dyDescent="0.25">
      <c r="B8" s="22"/>
      <c r="C8" s="10" t="s">
        <v>62</v>
      </c>
      <c r="D8" s="9"/>
      <c r="E8" s="10"/>
      <c r="F8" s="9"/>
      <c r="G8" s="10"/>
      <c r="H8" s="21">
        <v>30</v>
      </c>
      <c r="J8" s="155">
        <v>0</v>
      </c>
      <c r="K8" s="141"/>
      <c r="L8" s="11"/>
      <c r="M8" s="11"/>
      <c r="N8" s="11"/>
      <c r="O8" s="11"/>
      <c r="R8" s="97">
        <f t="shared" si="14"/>
        <v>120</v>
      </c>
      <c r="S8" s="101">
        <v>167.1</v>
      </c>
      <c r="T8" s="120">
        <f t="shared" si="0"/>
        <v>75.115600000000001</v>
      </c>
      <c r="U8" s="98">
        <v>149</v>
      </c>
      <c r="V8" s="80">
        <f t="shared" si="1"/>
        <v>563.96500000000003</v>
      </c>
      <c r="X8" s="97">
        <f t="shared" si="2"/>
        <v>120</v>
      </c>
      <c r="Y8" s="101">
        <v>161.9</v>
      </c>
      <c r="Z8" s="120">
        <f t="shared" si="3"/>
        <v>72.224400000000003</v>
      </c>
      <c r="AA8" s="98">
        <v>150</v>
      </c>
      <c r="AB8" s="80">
        <f t="shared" si="4"/>
        <v>567.75</v>
      </c>
      <c r="AD8" s="97">
        <f t="shared" si="5"/>
        <v>120</v>
      </c>
      <c r="AE8" s="101">
        <v>155.9</v>
      </c>
      <c r="AF8" s="120">
        <f t="shared" si="6"/>
        <v>68.888400000000004</v>
      </c>
      <c r="AG8" s="98">
        <v>151</v>
      </c>
      <c r="AH8" s="80">
        <f t="shared" si="7"/>
        <v>571.53499999999997</v>
      </c>
      <c r="AJ8" s="97">
        <f t="shared" si="8"/>
        <v>120</v>
      </c>
      <c r="AK8" s="101">
        <v>150.9</v>
      </c>
      <c r="AL8" s="120">
        <f t="shared" si="9"/>
        <v>66.108400000000003</v>
      </c>
      <c r="AM8" s="98">
        <v>152</v>
      </c>
      <c r="AN8" s="80">
        <f t="shared" si="10"/>
        <v>575.32000000000005</v>
      </c>
      <c r="AP8" s="97">
        <f t="shared" si="11"/>
        <v>120</v>
      </c>
      <c r="AQ8" s="101">
        <v>77.400000000000006</v>
      </c>
      <c r="AR8" s="120">
        <f t="shared" si="12"/>
        <v>25.242400000000007</v>
      </c>
      <c r="AS8" s="98">
        <v>150</v>
      </c>
      <c r="AT8" s="80">
        <f t="shared" si="13"/>
        <v>567.75</v>
      </c>
    </row>
    <row r="9" spans="1:46" x14ac:dyDescent="0.25">
      <c r="B9" s="22"/>
      <c r="C9" s="10" t="s">
        <v>63</v>
      </c>
      <c r="D9" s="9"/>
      <c r="E9" s="10"/>
      <c r="F9" s="9"/>
      <c r="G9" s="10"/>
      <c r="H9" s="21">
        <v>40</v>
      </c>
      <c r="J9" s="155">
        <v>0.3</v>
      </c>
      <c r="K9" s="141">
        <f t="shared" ref="K9:K10" si="15">LOG10(J9)</f>
        <v>-0.52287874528033762</v>
      </c>
      <c r="L9" s="11"/>
      <c r="M9" s="11"/>
      <c r="N9" s="11"/>
      <c r="O9" s="11"/>
      <c r="R9" s="97">
        <f t="shared" si="14"/>
        <v>150</v>
      </c>
      <c r="S9" s="101">
        <v>167.2</v>
      </c>
      <c r="T9" s="120">
        <f t="shared" si="0"/>
        <v>75.171199999999999</v>
      </c>
      <c r="U9" s="98">
        <v>151</v>
      </c>
      <c r="V9" s="80">
        <f t="shared" si="1"/>
        <v>571.53499999999997</v>
      </c>
      <c r="X9" s="97">
        <f t="shared" si="2"/>
        <v>150</v>
      </c>
      <c r="Y9" s="101">
        <v>161.9</v>
      </c>
      <c r="Z9" s="120">
        <f t="shared" si="3"/>
        <v>72.224400000000003</v>
      </c>
      <c r="AA9" s="98">
        <v>150</v>
      </c>
      <c r="AB9" s="80">
        <f t="shared" si="4"/>
        <v>567.75</v>
      </c>
      <c r="AD9" s="97">
        <f t="shared" si="5"/>
        <v>150</v>
      </c>
      <c r="AE9" s="101">
        <v>156</v>
      </c>
      <c r="AF9" s="120">
        <f t="shared" si="6"/>
        <v>68.944000000000003</v>
      </c>
      <c r="AG9" s="98">
        <v>150</v>
      </c>
      <c r="AH9" s="80">
        <f t="shared" si="7"/>
        <v>567.75</v>
      </c>
      <c r="AJ9" s="97">
        <f t="shared" si="8"/>
        <v>150</v>
      </c>
      <c r="AK9" s="101">
        <v>150.80000000000001</v>
      </c>
      <c r="AL9" s="120">
        <f t="shared" si="9"/>
        <v>66.052800000000019</v>
      </c>
      <c r="AM9" s="98">
        <v>153</v>
      </c>
      <c r="AN9" s="80">
        <f t="shared" si="10"/>
        <v>579.10500000000002</v>
      </c>
      <c r="AP9" s="97">
        <f t="shared" si="11"/>
        <v>150</v>
      </c>
      <c r="AQ9" s="101">
        <v>77.3</v>
      </c>
      <c r="AR9" s="120">
        <f t="shared" si="12"/>
        <v>25.186800000000002</v>
      </c>
      <c r="AS9" s="98">
        <v>149</v>
      </c>
      <c r="AT9" s="80">
        <f t="shared" si="13"/>
        <v>563.96500000000003</v>
      </c>
    </row>
    <row r="10" spans="1:46" ht="15.75" thickBot="1" x14ac:dyDescent="0.3">
      <c r="B10" s="23"/>
      <c r="C10" s="13" t="s">
        <v>64</v>
      </c>
      <c r="D10" s="14"/>
      <c r="E10" s="13"/>
      <c r="F10" s="14"/>
      <c r="G10" s="13"/>
      <c r="H10" s="24">
        <v>50</v>
      </c>
      <c r="J10" s="156">
        <v>0.8</v>
      </c>
      <c r="K10" s="141">
        <f t="shared" si="15"/>
        <v>-9.6910013008056392E-2</v>
      </c>
      <c r="L10" s="15"/>
      <c r="M10" s="15"/>
      <c r="N10" s="15"/>
      <c r="O10" s="15"/>
      <c r="R10" s="97">
        <f t="shared" si="14"/>
        <v>180</v>
      </c>
      <c r="S10" s="101">
        <v>167.1</v>
      </c>
      <c r="T10" s="120">
        <f t="shared" si="0"/>
        <v>75.115600000000001</v>
      </c>
      <c r="U10" s="98">
        <v>152</v>
      </c>
      <c r="V10" s="80">
        <f t="shared" si="1"/>
        <v>575.32000000000005</v>
      </c>
      <c r="X10" s="97">
        <f t="shared" si="2"/>
        <v>180</v>
      </c>
      <c r="Y10" s="101">
        <v>161.80000000000001</v>
      </c>
      <c r="Z10" s="120">
        <f t="shared" si="3"/>
        <v>72.168800000000019</v>
      </c>
      <c r="AA10" s="98">
        <v>151</v>
      </c>
      <c r="AB10" s="80">
        <f t="shared" si="4"/>
        <v>571.53499999999997</v>
      </c>
      <c r="AD10" s="97">
        <f t="shared" si="5"/>
        <v>180</v>
      </c>
      <c r="AE10" s="101">
        <v>156.1</v>
      </c>
      <c r="AF10" s="120">
        <f t="shared" si="6"/>
        <v>68.999600000000001</v>
      </c>
      <c r="AG10" s="98">
        <v>149</v>
      </c>
      <c r="AH10" s="80">
        <f t="shared" si="7"/>
        <v>563.96500000000003</v>
      </c>
      <c r="AJ10" s="97">
        <f t="shared" si="8"/>
        <v>180</v>
      </c>
      <c r="AK10" s="101">
        <v>150.69999999999999</v>
      </c>
      <c r="AL10" s="120">
        <f t="shared" si="9"/>
        <v>65.997200000000007</v>
      </c>
      <c r="AM10" s="98">
        <v>149</v>
      </c>
      <c r="AN10" s="80">
        <f t="shared" si="10"/>
        <v>563.96500000000003</v>
      </c>
      <c r="AP10" s="97">
        <f t="shared" si="11"/>
        <v>180</v>
      </c>
      <c r="AQ10" s="101">
        <v>77.3</v>
      </c>
      <c r="AR10" s="120">
        <f t="shared" si="12"/>
        <v>25.186800000000002</v>
      </c>
      <c r="AS10" s="98">
        <v>150</v>
      </c>
      <c r="AT10" s="80">
        <f t="shared" si="13"/>
        <v>567.75</v>
      </c>
    </row>
    <row r="11" spans="1:46" ht="15.75" thickBot="1" x14ac:dyDescent="0.3">
      <c r="B11" s="16"/>
      <c r="C11" s="16"/>
      <c r="D11" s="16"/>
      <c r="E11" s="16"/>
      <c r="F11" s="16"/>
      <c r="G11" s="16"/>
      <c r="H11" s="16"/>
      <c r="J11" s="7"/>
      <c r="K11" s="7"/>
      <c r="L11" s="17"/>
      <c r="M11" s="17"/>
      <c r="N11" s="17"/>
      <c r="O11" s="17"/>
      <c r="R11" s="97">
        <f t="shared" si="14"/>
        <v>210</v>
      </c>
      <c r="S11" s="101">
        <v>167.1</v>
      </c>
      <c r="T11" s="120">
        <f t="shared" si="0"/>
        <v>75.115600000000001</v>
      </c>
      <c r="U11" s="98">
        <v>152</v>
      </c>
      <c r="V11" s="80">
        <f t="shared" si="1"/>
        <v>575.32000000000005</v>
      </c>
      <c r="X11" s="97">
        <f t="shared" si="2"/>
        <v>210</v>
      </c>
      <c r="Y11" s="101">
        <v>161.9</v>
      </c>
      <c r="Z11" s="120">
        <f t="shared" si="3"/>
        <v>72.224400000000003</v>
      </c>
      <c r="AA11" s="98">
        <v>152</v>
      </c>
      <c r="AB11" s="80">
        <f t="shared" si="4"/>
        <v>575.32000000000005</v>
      </c>
      <c r="AD11" s="97">
        <f t="shared" si="5"/>
        <v>210</v>
      </c>
      <c r="AE11" s="101">
        <v>156.4</v>
      </c>
      <c r="AF11" s="120">
        <f t="shared" si="6"/>
        <v>69.16640000000001</v>
      </c>
      <c r="AG11" s="98">
        <v>151</v>
      </c>
      <c r="AH11" s="80">
        <f t="shared" si="7"/>
        <v>571.53499999999997</v>
      </c>
      <c r="AJ11" s="97">
        <f t="shared" si="8"/>
        <v>210</v>
      </c>
      <c r="AK11" s="101">
        <v>150.6</v>
      </c>
      <c r="AL11" s="120">
        <f t="shared" si="9"/>
        <v>65.941600000000008</v>
      </c>
      <c r="AM11" s="98">
        <v>153</v>
      </c>
      <c r="AN11" s="80">
        <f t="shared" si="10"/>
        <v>579.10500000000002</v>
      </c>
      <c r="AP11" s="97">
        <f t="shared" si="11"/>
        <v>210</v>
      </c>
      <c r="AQ11" s="101">
        <v>77.3</v>
      </c>
      <c r="AR11" s="120">
        <f t="shared" si="12"/>
        <v>25.186800000000002</v>
      </c>
      <c r="AS11" s="98">
        <v>149</v>
      </c>
      <c r="AT11" s="80">
        <f t="shared" si="13"/>
        <v>563.96500000000003</v>
      </c>
    </row>
    <row r="12" spans="1:46" ht="15.75" thickBot="1" x14ac:dyDescent="0.3">
      <c r="B12" s="5" t="s">
        <v>18</v>
      </c>
      <c r="C12" s="6" t="s">
        <v>19</v>
      </c>
      <c r="D12" s="5" t="s">
        <v>20</v>
      </c>
      <c r="E12" s="6" t="s">
        <v>21</v>
      </c>
      <c r="F12" s="5" t="s">
        <v>22</v>
      </c>
      <c r="G12" s="6" t="s">
        <v>23</v>
      </c>
      <c r="H12" s="5" t="s">
        <v>24</v>
      </c>
      <c r="J12" s="7" t="s">
        <v>89</v>
      </c>
      <c r="K12" s="7" t="s">
        <v>240</v>
      </c>
      <c r="L12" s="7" t="s">
        <v>220</v>
      </c>
      <c r="M12" s="7" t="s">
        <v>239</v>
      </c>
      <c r="N12" s="7"/>
      <c r="O12" s="7"/>
      <c r="R12" s="97">
        <f t="shared" si="14"/>
        <v>240</v>
      </c>
      <c r="S12" s="101">
        <v>167</v>
      </c>
      <c r="T12" s="120">
        <f t="shared" si="0"/>
        <v>75.06</v>
      </c>
      <c r="U12" s="98">
        <v>151</v>
      </c>
      <c r="V12" s="80">
        <f t="shared" si="1"/>
        <v>571.53499999999997</v>
      </c>
      <c r="X12" s="97">
        <f t="shared" si="2"/>
        <v>240</v>
      </c>
      <c r="Y12" s="101">
        <v>161.9</v>
      </c>
      <c r="Z12" s="120">
        <f t="shared" si="3"/>
        <v>72.224400000000003</v>
      </c>
      <c r="AA12" s="98">
        <v>151</v>
      </c>
      <c r="AB12" s="80">
        <f t="shared" si="4"/>
        <v>571.53499999999997</v>
      </c>
      <c r="AD12" s="97">
        <f t="shared" si="5"/>
        <v>240</v>
      </c>
      <c r="AE12" s="101">
        <v>156.30000000000001</v>
      </c>
      <c r="AF12" s="120">
        <f t="shared" si="6"/>
        <v>69.110800000000012</v>
      </c>
      <c r="AG12" s="98">
        <v>150</v>
      </c>
      <c r="AH12" s="80">
        <f t="shared" si="7"/>
        <v>567.75</v>
      </c>
      <c r="AJ12" s="97">
        <f t="shared" si="8"/>
        <v>240</v>
      </c>
      <c r="AK12" s="101">
        <v>150.6</v>
      </c>
      <c r="AL12" s="120">
        <f t="shared" si="9"/>
        <v>65.941600000000008</v>
      </c>
      <c r="AM12" s="98">
        <v>152</v>
      </c>
      <c r="AN12" s="80">
        <f t="shared" si="10"/>
        <v>575.32000000000005</v>
      </c>
      <c r="AP12" s="97">
        <f t="shared" si="11"/>
        <v>240</v>
      </c>
      <c r="AQ12" s="101">
        <v>77.2</v>
      </c>
      <c r="AR12" s="120">
        <f t="shared" si="12"/>
        <v>25.131200000000003</v>
      </c>
      <c r="AS12" s="98">
        <v>150</v>
      </c>
      <c r="AT12" s="80">
        <f t="shared" si="13"/>
        <v>567.75</v>
      </c>
    </row>
    <row r="13" spans="1:46" x14ac:dyDescent="0.25">
      <c r="B13" s="29">
        <v>42116</v>
      </c>
      <c r="C13" s="10" t="s">
        <v>65</v>
      </c>
      <c r="D13" s="9">
        <v>7</v>
      </c>
      <c r="E13" s="10">
        <v>72</v>
      </c>
      <c r="F13" s="9">
        <v>355</v>
      </c>
      <c r="G13" s="10">
        <v>5</v>
      </c>
      <c r="H13" s="32">
        <v>0</v>
      </c>
      <c r="J13" s="149">
        <v>6</v>
      </c>
      <c r="K13" s="141">
        <f t="shared" ref="K13:K18" si="16">LOG10(J13)</f>
        <v>0.77815125038364363</v>
      </c>
      <c r="L13" s="140">
        <f>AVERAGE(K13:K18)</f>
        <v>0.84936909755773427</v>
      </c>
      <c r="M13" s="140">
        <f>_xlfn.STDEV.S(K13:K18)</f>
        <v>0.1920566593640588</v>
      </c>
      <c r="N13" s="140">
        <f>$L$37-L13</f>
        <v>4.1141571251652334</v>
      </c>
      <c r="O13" s="140">
        <f>M13+$M$37</f>
        <v>0.3221554159258162</v>
      </c>
      <c r="P13" s="4">
        <f>$P$37-LOG10(AVERAGE(J13:J18))</f>
        <v>4.0948912087596803</v>
      </c>
      <c r="R13" s="99">
        <f t="shared" si="14"/>
        <v>270</v>
      </c>
      <c r="S13" s="87">
        <v>166.9</v>
      </c>
      <c r="T13" s="124">
        <f t="shared" si="0"/>
        <v>75.004400000000004</v>
      </c>
      <c r="U13" s="93">
        <v>152</v>
      </c>
      <c r="V13" s="121">
        <f t="shared" si="1"/>
        <v>575.32000000000005</v>
      </c>
      <c r="X13" s="99">
        <f t="shared" si="2"/>
        <v>270</v>
      </c>
      <c r="Y13" s="87">
        <v>161.80000000000001</v>
      </c>
      <c r="Z13" s="124">
        <f t="shared" si="3"/>
        <v>72.168800000000019</v>
      </c>
      <c r="AA13" s="93">
        <v>151</v>
      </c>
      <c r="AB13" s="121">
        <f t="shared" si="4"/>
        <v>571.53499999999997</v>
      </c>
      <c r="AD13" s="99">
        <f t="shared" si="5"/>
        <v>270</v>
      </c>
      <c r="AE13" s="87">
        <v>156.4</v>
      </c>
      <c r="AF13" s="124">
        <f t="shared" si="6"/>
        <v>69.16640000000001</v>
      </c>
      <c r="AG13" s="93">
        <v>152</v>
      </c>
      <c r="AH13" s="121">
        <f t="shared" si="7"/>
        <v>575.32000000000005</v>
      </c>
      <c r="AJ13" s="99">
        <f t="shared" si="8"/>
        <v>270</v>
      </c>
      <c r="AK13" s="87">
        <v>150.80000000000001</v>
      </c>
      <c r="AL13" s="124">
        <f t="shared" si="9"/>
        <v>66.052800000000019</v>
      </c>
      <c r="AM13" s="93">
        <v>152</v>
      </c>
      <c r="AN13" s="121">
        <f t="shared" si="10"/>
        <v>575.32000000000005</v>
      </c>
      <c r="AP13" s="99">
        <f t="shared" si="11"/>
        <v>270</v>
      </c>
      <c r="AQ13" s="105">
        <v>77.2</v>
      </c>
      <c r="AR13" s="124">
        <f t="shared" si="12"/>
        <v>25.131200000000003</v>
      </c>
      <c r="AS13" s="93">
        <v>149</v>
      </c>
      <c r="AT13" s="121">
        <f t="shared" si="13"/>
        <v>563.96500000000003</v>
      </c>
    </row>
    <row r="14" spans="1:46" x14ac:dyDescent="0.25">
      <c r="B14" s="22"/>
      <c r="C14" s="10" t="s">
        <v>66</v>
      </c>
      <c r="D14" s="9"/>
      <c r="E14" s="10"/>
      <c r="F14" s="9"/>
      <c r="G14" s="10"/>
      <c r="H14" s="21">
        <v>10</v>
      </c>
      <c r="J14" s="150">
        <v>5</v>
      </c>
      <c r="K14" s="141">
        <f t="shared" si="16"/>
        <v>0.69897000433601886</v>
      </c>
      <c r="L14" s="11"/>
      <c r="M14" s="11"/>
      <c r="N14" s="11"/>
      <c r="O14" s="11"/>
      <c r="R14" s="99">
        <f t="shared" si="14"/>
        <v>300</v>
      </c>
      <c r="S14" s="87">
        <v>166.9</v>
      </c>
      <c r="T14" s="124">
        <f t="shared" si="0"/>
        <v>75.004400000000004</v>
      </c>
      <c r="U14" s="93">
        <v>151</v>
      </c>
      <c r="V14" s="121">
        <f t="shared" si="1"/>
        <v>571.53499999999997</v>
      </c>
      <c r="X14" s="99">
        <f t="shared" si="2"/>
        <v>300</v>
      </c>
      <c r="Y14" s="87">
        <v>161.69999999999999</v>
      </c>
      <c r="Z14" s="124">
        <f t="shared" si="3"/>
        <v>72.113200000000006</v>
      </c>
      <c r="AA14" s="93">
        <v>150</v>
      </c>
      <c r="AB14" s="121">
        <f t="shared" si="4"/>
        <v>567.75</v>
      </c>
      <c r="AD14" s="99">
        <f t="shared" si="5"/>
        <v>300</v>
      </c>
      <c r="AE14" s="89">
        <v>156.30000000000001</v>
      </c>
      <c r="AF14" s="124">
        <f t="shared" si="6"/>
        <v>69.110800000000012</v>
      </c>
      <c r="AG14" s="93">
        <v>151</v>
      </c>
      <c r="AH14" s="121">
        <f t="shared" si="7"/>
        <v>571.53499999999997</v>
      </c>
      <c r="AJ14" s="99">
        <f t="shared" si="8"/>
        <v>300</v>
      </c>
      <c r="AK14" s="89">
        <v>150.9</v>
      </c>
      <c r="AL14" s="124">
        <f t="shared" si="9"/>
        <v>66.108400000000003</v>
      </c>
      <c r="AM14" s="93">
        <v>153</v>
      </c>
      <c r="AN14" s="121">
        <f t="shared" si="10"/>
        <v>579.10500000000002</v>
      </c>
      <c r="AP14" s="99">
        <f t="shared" si="11"/>
        <v>300</v>
      </c>
      <c r="AQ14" s="87">
        <v>77.099999999999994</v>
      </c>
      <c r="AR14" s="124">
        <f t="shared" si="12"/>
        <v>25.075599999999998</v>
      </c>
      <c r="AS14" s="93">
        <v>150</v>
      </c>
      <c r="AT14" s="121">
        <f t="shared" si="13"/>
        <v>567.75</v>
      </c>
    </row>
    <row r="15" spans="1:46" x14ac:dyDescent="0.25">
      <c r="B15" s="22"/>
      <c r="C15" s="10" t="s">
        <v>67</v>
      </c>
      <c r="D15" s="9"/>
      <c r="E15" s="10"/>
      <c r="F15" s="9"/>
      <c r="G15" s="10"/>
      <c r="H15" s="21">
        <v>20</v>
      </c>
      <c r="J15" s="150">
        <v>8</v>
      </c>
      <c r="K15" s="141">
        <f t="shared" si="16"/>
        <v>0.90308998699194354</v>
      </c>
      <c r="L15" s="11"/>
      <c r="M15" s="11"/>
      <c r="N15" s="11"/>
      <c r="O15" s="11"/>
      <c r="R15" s="99">
        <f t="shared" si="14"/>
        <v>330</v>
      </c>
      <c r="S15" s="87">
        <v>166.9</v>
      </c>
      <c r="T15" s="124">
        <f t="shared" si="0"/>
        <v>75.004400000000004</v>
      </c>
      <c r="U15" s="93">
        <v>153</v>
      </c>
      <c r="V15" s="121">
        <f t="shared" si="1"/>
        <v>579.10500000000002</v>
      </c>
      <c r="X15" s="99">
        <f t="shared" si="2"/>
        <v>330</v>
      </c>
      <c r="Y15" s="87"/>
      <c r="Z15" s="124"/>
      <c r="AA15" s="93"/>
      <c r="AB15" s="121"/>
      <c r="AD15" s="99">
        <f t="shared" si="5"/>
        <v>330</v>
      </c>
      <c r="AE15" s="87"/>
      <c r="AF15" s="124"/>
      <c r="AG15" s="93"/>
      <c r="AH15" s="121"/>
      <c r="AJ15" s="99">
        <f t="shared" si="8"/>
        <v>330</v>
      </c>
      <c r="AK15" s="87"/>
      <c r="AL15" s="124"/>
      <c r="AM15" s="93"/>
      <c r="AN15" s="121"/>
      <c r="AP15" s="99">
        <f t="shared" si="11"/>
        <v>330</v>
      </c>
      <c r="AQ15" s="87"/>
      <c r="AR15" s="124"/>
      <c r="AS15" s="93"/>
      <c r="AT15" s="121"/>
    </row>
    <row r="16" spans="1:46" x14ac:dyDescent="0.25">
      <c r="B16" s="22"/>
      <c r="C16" s="10" t="s">
        <v>68</v>
      </c>
      <c r="D16" s="9"/>
      <c r="E16" s="10"/>
      <c r="F16" s="9"/>
      <c r="G16" s="10"/>
      <c r="H16" s="21">
        <v>30</v>
      </c>
      <c r="J16" s="150">
        <v>4</v>
      </c>
      <c r="K16" s="141">
        <f t="shared" si="16"/>
        <v>0.6020599913279624</v>
      </c>
      <c r="L16" s="11"/>
      <c r="M16" s="11"/>
      <c r="N16" s="11"/>
      <c r="O16" s="11"/>
      <c r="R16" s="99">
        <f t="shared" si="14"/>
        <v>360</v>
      </c>
      <c r="S16" s="87">
        <v>166.8</v>
      </c>
      <c r="T16" s="124">
        <f t="shared" si="0"/>
        <v>74.94880000000002</v>
      </c>
      <c r="U16" s="93">
        <v>152</v>
      </c>
      <c r="V16" s="121">
        <f t="shared" si="1"/>
        <v>575.32000000000005</v>
      </c>
      <c r="X16" s="99">
        <f t="shared" si="2"/>
        <v>360</v>
      </c>
      <c r="Y16" s="87"/>
      <c r="Z16" s="124"/>
      <c r="AA16" s="93"/>
      <c r="AB16" s="121"/>
      <c r="AD16" s="99">
        <f t="shared" si="5"/>
        <v>360</v>
      </c>
      <c r="AE16" s="87"/>
      <c r="AF16" s="124"/>
      <c r="AG16" s="93"/>
      <c r="AH16" s="121"/>
      <c r="AJ16" s="99">
        <f t="shared" si="8"/>
        <v>360</v>
      </c>
      <c r="AK16" s="87"/>
      <c r="AL16" s="124"/>
      <c r="AM16" s="93"/>
      <c r="AN16" s="121"/>
      <c r="AP16" s="99">
        <f t="shared" si="11"/>
        <v>360</v>
      </c>
      <c r="AQ16" s="87"/>
      <c r="AR16" s="124"/>
      <c r="AS16" s="93"/>
      <c r="AT16" s="121"/>
    </row>
    <row r="17" spans="2:46" x14ac:dyDescent="0.25">
      <c r="B17" s="22"/>
      <c r="C17" s="10" t="s">
        <v>69</v>
      </c>
      <c r="D17" s="9"/>
      <c r="E17" s="10"/>
      <c r="F17" s="9"/>
      <c r="G17" s="10"/>
      <c r="H17" s="21">
        <v>40</v>
      </c>
      <c r="J17" s="150">
        <v>10</v>
      </c>
      <c r="K17" s="141">
        <f t="shared" si="16"/>
        <v>1</v>
      </c>
      <c r="L17" s="11"/>
      <c r="M17" s="11"/>
      <c r="N17" s="11"/>
      <c r="O17" s="11"/>
      <c r="R17" s="99">
        <f t="shared" si="14"/>
        <v>390</v>
      </c>
      <c r="S17" s="87">
        <v>166.9</v>
      </c>
      <c r="T17" s="124">
        <f t="shared" si="0"/>
        <v>75.004400000000004</v>
      </c>
      <c r="U17" s="93">
        <v>151</v>
      </c>
      <c r="V17" s="121">
        <f t="shared" si="1"/>
        <v>571.53499999999997</v>
      </c>
      <c r="X17" s="99">
        <f t="shared" si="2"/>
        <v>390</v>
      </c>
      <c r="Y17" s="87"/>
      <c r="Z17" s="124"/>
      <c r="AA17" s="93"/>
      <c r="AB17" s="121"/>
      <c r="AD17" s="99">
        <f t="shared" si="5"/>
        <v>390</v>
      </c>
      <c r="AE17" s="87"/>
      <c r="AF17" s="124"/>
      <c r="AG17" s="93"/>
      <c r="AH17" s="121"/>
      <c r="AJ17" s="99">
        <f t="shared" si="8"/>
        <v>390</v>
      </c>
      <c r="AK17" s="87"/>
      <c r="AL17" s="124"/>
      <c r="AM17" s="93"/>
      <c r="AN17" s="121"/>
      <c r="AP17" s="99">
        <f t="shared" si="11"/>
        <v>390</v>
      </c>
      <c r="AQ17" s="87"/>
      <c r="AR17" s="124"/>
      <c r="AS17" s="93"/>
      <c r="AT17" s="121"/>
    </row>
    <row r="18" spans="2:46" ht="15.75" thickBot="1" x14ac:dyDescent="0.3">
      <c r="B18" s="23"/>
      <c r="C18" s="13" t="s">
        <v>70</v>
      </c>
      <c r="D18" s="14"/>
      <c r="E18" s="13"/>
      <c r="F18" s="14"/>
      <c r="G18" s="13"/>
      <c r="H18" s="24">
        <v>50</v>
      </c>
      <c r="J18" s="151">
        <v>13</v>
      </c>
      <c r="K18" s="142">
        <f t="shared" si="16"/>
        <v>1.1139433523068367</v>
      </c>
      <c r="L18" s="15"/>
      <c r="M18" s="15"/>
      <c r="N18" s="15"/>
      <c r="O18" s="11"/>
      <c r="R18" s="100">
        <f t="shared" si="14"/>
        <v>420</v>
      </c>
      <c r="S18" s="88">
        <v>167</v>
      </c>
      <c r="T18" s="125">
        <f t="shared" si="0"/>
        <v>75.06</v>
      </c>
      <c r="U18" s="94">
        <v>152</v>
      </c>
      <c r="V18" s="122">
        <f t="shared" si="1"/>
        <v>575.32000000000005</v>
      </c>
      <c r="X18" s="100">
        <f t="shared" si="2"/>
        <v>420</v>
      </c>
      <c r="Y18" s="88"/>
      <c r="Z18" s="125"/>
      <c r="AA18" s="94"/>
      <c r="AB18" s="122"/>
      <c r="AD18" s="100">
        <f t="shared" si="5"/>
        <v>420</v>
      </c>
      <c r="AE18" s="88"/>
      <c r="AF18" s="125"/>
      <c r="AG18" s="94"/>
      <c r="AH18" s="122"/>
      <c r="AJ18" s="100">
        <f t="shared" si="8"/>
        <v>420</v>
      </c>
      <c r="AK18" s="88"/>
      <c r="AL18" s="125"/>
      <c r="AM18" s="94"/>
      <c r="AN18" s="122"/>
      <c r="AP18" s="100">
        <f t="shared" si="11"/>
        <v>420</v>
      </c>
      <c r="AQ18" s="88"/>
      <c r="AR18" s="125"/>
      <c r="AS18" s="94"/>
      <c r="AT18" s="122"/>
    </row>
    <row r="19" spans="2:46" ht="15.75" thickBot="1" x14ac:dyDescent="0.3">
      <c r="B19" s="16"/>
      <c r="C19" s="16"/>
      <c r="D19" s="16"/>
      <c r="E19" s="16"/>
      <c r="F19" s="16"/>
      <c r="G19" s="16"/>
      <c r="H19" s="16"/>
      <c r="J19" s="17"/>
      <c r="K19" s="17"/>
      <c r="L19" s="17"/>
      <c r="M19" s="17"/>
      <c r="N19" s="17"/>
      <c r="O19" s="7"/>
      <c r="T19" s="133" t="s">
        <v>220</v>
      </c>
      <c r="V19" s="133" t="s">
        <v>220</v>
      </c>
      <c r="Z19" s="133" t="s">
        <v>220</v>
      </c>
      <c r="AB19" s="133" t="s">
        <v>220</v>
      </c>
      <c r="AF19" s="133" t="s">
        <v>220</v>
      </c>
      <c r="AH19" s="133" t="s">
        <v>220</v>
      </c>
      <c r="AL19" s="133" t="s">
        <v>220</v>
      </c>
      <c r="AN19" s="133" t="s">
        <v>220</v>
      </c>
      <c r="AR19" s="133" t="s">
        <v>220</v>
      </c>
      <c r="AT19" s="133" t="s">
        <v>220</v>
      </c>
    </row>
    <row r="20" spans="2:46" ht="15.75" thickBot="1" x14ac:dyDescent="0.3">
      <c r="B20" s="18" t="s">
        <v>18</v>
      </c>
      <c r="C20" s="5" t="s">
        <v>19</v>
      </c>
      <c r="D20" s="6" t="s">
        <v>20</v>
      </c>
      <c r="E20" s="5" t="s">
        <v>21</v>
      </c>
      <c r="F20" s="6" t="s">
        <v>22</v>
      </c>
      <c r="G20" s="5" t="s">
        <v>23</v>
      </c>
      <c r="H20" s="19" t="s">
        <v>24</v>
      </c>
      <c r="J20" s="7" t="s">
        <v>89</v>
      </c>
      <c r="K20" s="7" t="s">
        <v>240</v>
      </c>
      <c r="L20" s="7" t="s">
        <v>220</v>
      </c>
      <c r="M20" s="7" t="s">
        <v>239</v>
      </c>
      <c r="N20" s="7"/>
      <c r="O20" s="17"/>
      <c r="T20" s="134">
        <f>AVERAGE(T4:T18)</f>
        <v>75.067413333333334</v>
      </c>
      <c r="V20" s="134">
        <f>AVERAGE(V4:V18)</f>
        <v>572.54433333333327</v>
      </c>
      <c r="Z20" s="134">
        <f>AVERAGE(Z4:Z18)</f>
        <v>72.163745454545477</v>
      </c>
      <c r="AB20" s="134">
        <f>AVERAGE(AB4:AB18)</f>
        <v>571.53499999999997</v>
      </c>
      <c r="AF20" s="135">
        <f>AVERAGE(AF1:AF14)</f>
        <v>69.019818181818195</v>
      </c>
      <c r="AH20" s="134">
        <f>AVERAGE(AH4:AH18)</f>
        <v>569.47045454545457</v>
      </c>
      <c r="AL20" s="135">
        <f>AVERAGE(AL4:AL18)</f>
        <v>66.062909090909088</v>
      </c>
      <c r="AN20" s="134">
        <f>AVERAGE(AN4:AN18)</f>
        <v>573.59954545454536</v>
      </c>
      <c r="AR20" s="135">
        <f>AVERAGE(AR4:AR18)</f>
        <v>25.196909090909095</v>
      </c>
      <c r="AT20" s="134">
        <f>AVERAGE(AT4:AT18)</f>
        <v>569.47045454545457</v>
      </c>
    </row>
    <row r="21" spans="2:46" x14ac:dyDescent="0.25">
      <c r="B21" s="29">
        <v>42116</v>
      </c>
      <c r="C21" s="10" t="s">
        <v>71</v>
      </c>
      <c r="D21" s="9">
        <v>8</v>
      </c>
      <c r="E21" s="10">
        <v>69</v>
      </c>
      <c r="F21" s="9">
        <v>355</v>
      </c>
      <c r="G21" s="10">
        <v>5</v>
      </c>
      <c r="H21" s="32">
        <v>0</v>
      </c>
      <c r="J21" s="11">
        <v>1880</v>
      </c>
      <c r="K21" s="141">
        <f t="shared" ref="K21:K26" si="17">LOG10(J21)</f>
        <v>3.27415784926368</v>
      </c>
      <c r="L21" s="140">
        <f>AVERAGE(K21:K26)</f>
        <v>3.3360642250698587</v>
      </c>
      <c r="M21" s="141">
        <f>_xlfn.STDEV.S(K21:K26)</f>
        <v>3.3715340239695683E-2</v>
      </c>
      <c r="N21" s="140">
        <f>$L$37-L21</f>
        <v>1.6274619976531093</v>
      </c>
      <c r="O21" s="148">
        <f>M21+$M$37</f>
        <v>0.16381409680145306</v>
      </c>
      <c r="P21" s="4">
        <f>$P$37-LOG10(AVERAGE(J21:J26))</f>
        <v>1.6423714490453531</v>
      </c>
      <c r="R21" s="4" t="s">
        <v>205</v>
      </c>
      <c r="S21" s="4" t="s">
        <v>203</v>
      </c>
      <c r="X21" s="4" t="s">
        <v>205</v>
      </c>
      <c r="Y21" s="4" t="s">
        <v>203</v>
      </c>
      <c r="AD21" s="4" t="s">
        <v>205</v>
      </c>
      <c r="AJ21" s="4" t="s">
        <v>205</v>
      </c>
      <c r="AK21">
        <v>22</v>
      </c>
      <c r="AP21" s="4" t="s">
        <v>205</v>
      </c>
      <c r="AQ21">
        <v>21</v>
      </c>
    </row>
    <row r="22" spans="2:46" x14ac:dyDescent="0.25">
      <c r="B22" s="22"/>
      <c r="C22" s="10" t="s">
        <v>72</v>
      </c>
      <c r="D22" s="9"/>
      <c r="E22" s="10"/>
      <c r="F22" s="9"/>
      <c r="G22" s="10"/>
      <c r="H22" s="21">
        <v>10</v>
      </c>
      <c r="J22" s="11">
        <v>2120</v>
      </c>
      <c r="K22" s="141">
        <f t="shared" si="17"/>
        <v>3.3263358609287512</v>
      </c>
      <c r="L22" s="11"/>
      <c r="M22" s="11"/>
      <c r="N22" s="11"/>
      <c r="O22" s="11"/>
      <c r="R22" s="4" t="s">
        <v>206</v>
      </c>
      <c r="S22" s="4" t="s">
        <v>204</v>
      </c>
      <c r="X22" s="4" t="s">
        <v>206</v>
      </c>
      <c r="Y22" s="4" t="s">
        <v>204</v>
      </c>
      <c r="AD22" s="4" t="s">
        <v>206</v>
      </c>
      <c r="AJ22" s="4" t="s">
        <v>206</v>
      </c>
      <c r="AK22">
        <v>46</v>
      </c>
      <c r="AP22" s="4" t="s">
        <v>206</v>
      </c>
      <c r="AQ22" s="95">
        <v>45</v>
      </c>
      <c r="AR22" s="95"/>
    </row>
    <row r="23" spans="2:46" x14ac:dyDescent="0.25">
      <c r="B23" s="22"/>
      <c r="C23" s="10" t="s">
        <v>73</v>
      </c>
      <c r="D23" s="9"/>
      <c r="E23" s="10"/>
      <c r="F23" s="9"/>
      <c r="G23" s="10"/>
      <c r="H23" s="21">
        <v>20</v>
      </c>
      <c r="J23" s="11">
        <v>2260</v>
      </c>
      <c r="K23" s="141">
        <f t="shared" si="17"/>
        <v>3.3541084391474008</v>
      </c>
      <c r="L23" s="11"/>
      <c r="M23" s="11"/>
      <c r="N23" s="11"/>
      <c r="O23" s="11"/>
    </row>
    <row r="24" spans="2:46" ht="18.75" x14ac:dyDescent="0.3">
      <c r="B24" s="22"/>
      <c r="C24" s="10" t="s">
        <v>74</v>
      </c>
      <c r="D24" s="9"/>
      <c r="E24" s="10"/>
      <c r="F24" s="9"/>
      <c r="G24" s="10"/>
      <c r="H24" s="21">
        <v>30</v>
      </c>
      <c r="J24" s="11">
        <v>2170</v>
      </c>
      <c r="K24" s="141">
        <f t="shared" si="17"/>
        <v>3.3364597338485296</v>
      </c>
      <c r="L24" s="11"/>
      <c r="M24" s="11"/>
      <c r="N24" s="11"/>
      <c r="O24" s="11"/>
      <c r="AT24" s="138" t="s">
        <v>221</v>
      </c>
    </row>
    <row r="25" spans="2:46" ht="19.5" thickBot="1" x14ac:dyDescent="0.35">
      <c r="B25" s="22"/>
      <c r="C25" s="10" t="s">
        <v>75</v>
      </c>
      <c r="D25" s="9"/>
      <c r="E25" s="10"/>
      <c r="F25" s="9"/>
      <c r="G25" s="10"/>
      <c r="H25" s="21">
        <v>40</v>
      </c>
      <c r="J25" s="11">
        <v>2290</v>
      </c>
      <c r="K25" s="141">
        <f t="shared" si="17"/>
        <v>3.3598354823398879</v>
      </c>
      <c r="L25" s="11"/>
      <c r="M25" s="11"/>
      <c r="N25" s="11"/>
      <c r="O25" s="11"/>
      <c r="AT25" s="139">
        <f>AVERAGE(AT20,AN20,AH20,AB20,V20)</f>
        <v>571.3239575757575</v>
      </c>
    </row>
    <row r="26" spans="2:46" ht="15.75" thickBot="1" x14ac:dyDescent="0.3">
      <c r="B26" s="23"/>
      <c r="C26" s="13" t="s">
        <v>76</v>
      </c>
      <c r="D26" s="14"/>
      <c r="E26" s="13"/>
      <c r="F26" s="14"/>
      <c r="G26" s="13"/>
      <c r="H26" s="24">
        <v>50</v>
      </c>
      <c r="J26" s="15">
        <v>2320</v>
      </c>
      <c r="K26" s="142">
        <f t="shared" si="17"/>
        <v>3.3654879848908998</v>
      </c>
      <c r="L26" s="15"/>
      <c r="M26" s="15"/>
      <c r="N26" s="15"/>
      <c r="O26" s="15"/>
      <c r="R26" s="113" t="s">
        <v>211</v>
      </c>
      <c r="S26" s="114" t="s">
        <v>212</v>
      </c>
    </row>
    <row r="27" spans="2:46" ht="15.75" thickBot="1" x14ac:dyDescent="0.3">
      <c r="B27" s="16"/>
      <c r="C27" s="16"/>
      <c r="D27" s="16"/>
      <c r="E27" s="16"/>
      <c r="F27" s="16"/>
      <c r="G27" s="16"/>
      <c r="H27" s="16"/>
      <c r="J27" s="17"/>
      <c r="K27" s="17"/>
      <c r="L27" s="17"/>
      <c r="M27" s="17"/>
      <c r="N27" s="17"/>
      <c r="O27" s="17"/>
      <c r="R27" s="115" t="s">
        <v>213</v>
      </c>
      <c r="S27" s="116" t="s">
        <v>214</v>
      </c>
    </row>
    <row r="28" spans="2:46" ht="15.75" thickBot="1" x14ac:dyDescent="0.3">
      <c r="B28" s="18" t="s">
        <v>18</v>
      </c>
      <c r="C28" s="5" t="s">
        <v>19</v>
      </c>
      <c r="D28" s="6" t="s">
        <v>20</v>
      </c>
      <c r="E28" s="5" t="s">
        <v>21</v>
      </c>
      <c r="F28" s="6" t="s">
        <v>22</v>
      </c>
      <c r="G28" s="5" t="s">
        <v>23</v>
      </c>
      <c r="H28" s="19" t="s">
        <v>24</v>
      </c>
      <c r="J28" s="7" t="s">
        <v>89</v>
      </c>
      <c r="K28" s="7" t="s">
        <v>240</v>
      </c>
      <c r="L28" s="7" t="s">
        <v>220</v>
      </c>
      <c r="M28" s="7" t="s">
        <v>239</v>
      </c>
      <c r="N28" s="7"/>
      <c r="O28" s="7"/>
      <c r="R28" s="118" t="s">
        <v>216</v>
      </c>
      <c r="S28" s="119" t="s">
        <v>217</v>
      </c>
    </row>
    <row r="29" spans="2:46" x14ac:dyDescent="0.25">
      <c r="B29" s="29">
        <v>42116</v>
      </c>
      <c r="C29" s="10" t="s">
        <v>77</v>
      </c>
      <c r="D29" s="9">
        <v>9</v>
      </c>
      <c r="E29" s="10">
        <v>66</v>
      </c>
      <c r="F29" s="9">
        <v>355</v>
      </c>
      <c r="G29" s="10">
        <v>5</v>
      </c>
      <c r="H29" s="32">
        <v>0</v>
      </c>
      <c r="J29" s="11">
        <v>28000</v>
      </c>
      <c r="K29" s="141">
        <f t="shared" ref="K29:K34" si="18">LOG10(J29)</f>
        <v>4.4471580313422194</v>
      </c>
      <c r="L29" s="140">
        <f>AVERAGE(K29:K34)</f>
        <v>4.3583702420901345</v>
      </c>
      <c r="M29" s="140">
        <f>_xlfn.STDEV.S(K29:K34)</f>
        <v>0.17903398981234236</v>
      </c>
      <c r="N29" s="140">
        <f>$L$37-L29</f>
        <v>0.60515598063283349</v>
      </c>
      <c r="O29" s="140">
        <f>M29+$M$37</f>
        <v>0.30913274637409971</v>
      </c>
      <c r="P29" s="4">
        <f>$P$37-LOG10(AVERAGE(J29:J34))</f>
        <v>0.59329618465681744</v>
      </c>
    </row>
    <row r="30" spans="2:46" x14ac:dyDescent="0.25">
      <c r="B30" s="22"/>
      <c r="C30" s="10" t="s">
        <v>78</v>
      </c>
      <c r="D30" s="9"/>
      <c r="E30" s="10"/>
      <c r="F30" s="9"/>
      <c r="G30" s="10"/>
      <c r="H30" s="21">
        <v>10</v>
      </c>
      <c r="J30" s="11">
        <v>25000</v>
      </c>
      <c r="K30" s="141">
        <f t="shared" si="18"/>
        <v>4.3979400086720375</v>
      </c>
      <c r="L30" s="11"/>
      <c r="M30" s="11"/>
      <c r="N30" s="11"/>
      <c r="O30" s="11"/>
    </row>
    <row r="31" spans="2:46" x14ac:dyDescent="0.25">
      <c r="B31" s="22"/>
      <c r="C31" s="10" t="s">
        <v>79</v>
      </c>
      <c r="D31" s="9"/>
      <c r="E31" s="10"/>
      <c r="F31" s="9"/>
      <c r="G31" s="10"/>
      <c r="H31" s="21">
        <v>20</v>
      </c>
      <c r="J31" s="11">
        <v>38000</v>
      </c>
      <c r="K31" s="141">
        <f t="shared" si="18"/>
        <v>4.5797835966168101</v>
      </c>
      <c r="L31" s="11"/>
      <c r="M31" s="11"/>
      <c r="N31" s="11"/>
      <c r="O31" s="11"/>
    </row>
    <row r="32" spans="2:46" x14ac:dyDescent="0.25">
      <c r="B32" s="22"/>
      <c r="C32" s="10" t="s">
        <v>80</v>
      </c>
      <c r="D32" s="9"/>
      <c r="E32" s="10"/>
      <c r="F32" s="9"/>
      <c r="G32" s="10"/>
      <c r="H32" s="21">
        <v>30</v>
      </c>
      <c r="J32" s="11">
        <v>23000</v>
      </c>
      <c r="K32" s="141">
        <f t="shared" si="18"/>
        <v>4.3617278360175931</v>
      </c>
      <c r="L32" s="11"/>
      <c r="M32" s="11"/>
      <c r="N32" s="11"/>
      <c r="O32" s="11"/>
    </row>
    <row r="33" spans="2:16" customFormat="1" x14ac:dyDescent="0.25">
      <c r="B33" s="22"/>
      <c r="C33" s="10" t="s">
        <v>81</v>
      </c>
      <c r="D33" s="9"/>
      <c r="E33" s="10"/>
      <c r="F33" s="9"/>
      <c r="G33" s="10"/>
      <c r="H33" s="21">
        <v>40</v>
      </c>
      <c r="J33" s="11">
        <v>21000</v>
      </c>
      <c r="K33" s="141">
        <f t="shared" si="18"/>
        <v>4.3222192947339195</v>
      </c>
      <c r="L33" s="11"/>
      <c r="M33" s="11"/>
      <c r="N33" s="11"/>
      <c r="O33" s="11"/>
      <c r="P33" s="4"/>
    </row>
    <row r="34" spans="2:16" customFormat="1" ht="15.75" thickBot="1" x14ac:dyDescent="0.3">
      <c r="B34" s="23"/>
      <c r="C34" s="13" t="s">
        <v>82</v>
      </c>
      <c r="D34" s="14"/>
      <c r="E34" s="13"/>
      <c r="F34" s="14"/>
      <c r="G34" s="13"/>
      <c r="H34" s="24">
        <v>50</v>
      </c>
      <c r="J34" s="15">
        <v>11000</v>
      </c>
      <c r="K34" s="142">
        <f t="shared" si="18"/>
        <v>4.0413926851582254</v>
      </c>
      <c r="L34" s="15"/>
      <c r="M34" s="15"/>
      <c r="N34" s="15"/>
      <c r="O34" s="11"/>
      <c r="P34" s="4"/>
    </row>
    <row r="35" spans="2:16" customFormat="1" ht="15.75" thickBot="1" x14ac:dyDescent="0.3">
      <c r="B35" s="16"/>
      <c r="C35" s="16"/>
      <c r="D35" s="16"/>
      <c r="E35" s="16"/>
      <c r="F35" s="16"/>
      <c r="G35" s="16"/>
      <c r="H35" s="16"/>
      <c r="J35" s="17"/>
      <c r="K35" s="25"/>
      <c r="L35" s="25"/>
      <c r="M35" s="25"/>
      <c r="N35" s="25"/>
      <c r="O35" s="7"/>
      <c r="P35" s="4"/>
    </row>
    <row r="36" spans="2:16" customFormat="1" ht="15.75" thickBot="1" x14ac:dyDescent="0.3">
      <c r="B36" s="18" t="s">
        <v>18</v>
      </c>
      <c r="C36" s="5" t="s">
        <v>19</v>
      </c>
      <c r="D36" s="6" t="s">
        <v>20</v>
      </c>
      <c r="E36" s="5" t="s">
        <v>21</v>
      </c>
      <c r="F36" s="6" t="s">
        <v>22</v>
      </c>
      <c r="G36" s="5" t="s">
        <v>23</v>
      </c>
      <c r="H36" s="19" t="s">
        <v>24</v>
      </c>
      <c r="J36" s="7" t="s">
        <v>89</v>
      </c>
      <c r="K36" s="7" t="s">
        <v>240</v>
      </c>
      <c r="L36" s="7" t="s">
        <v>220</v>
      </c>
      <c r="M36" s="7" t="s">
        <v>239</v>
      </c>
      <c r="N36" s="7"/>
      <c r="O36" s="17"/>
      <c r="P36" s="4"/>
    </row>
    <row r="37" spans="2:16" customFormat="1" x14ac:dyDescent="0.25">
      <c r="B37" s="29">
        <v>42116</v>
      </c>
      <c r="C37" s="10" t="s">
        <v>83</v>
      </c>
      <c r="D37" s="9">
        <v>10</v>
      </c>
      <c r="E37" s="10" t="s">
        <v>50</v>
      </c>
      <c r="F37" s="9">
        <v>355</v>
      </c>
      <c r="G37" s="10">
        <v>5</v>
      </c>
      <c r="H37" s="32">
        <v>0</v>
      </c>
      <c r="J37" s="12">
        <v>139000</v>
      </c>
      <c r="K37" s="152">
        <f t="shared" ref="K37:K42" si="19">LOG10(J37)</f>
        <v>5.143014800254095</v>
      </c>
      <c r="L37" s="140">
        <f>AVERAGE(K37:K42)</f>
        <v>4.963526222722968</v>
      </c>
      <c r="M37" s="140">
        <f>_xlfn.STDEV.S(K37:K42)</f>
        <v>0.13009875656175737</v>
      </c>
      <c r="N37" s="140"/>
      <c r="O37" s="148"/>
      <c r="P37" s="4">
        <f>LOG10(AVERAGE(J37:J42))</f>
        <v>4.9794977900576107</v>
      </c>
    </row>
    <row r="38" spans="2:16" customFormat="1" x14ac:dyDescent="0.25">
      <c r="B38" s="22"/>
      <c r="C38" s="10" t="s">
        <v>84</v>
      </c>
      <c r="D38" s="9"/>
      <c r="E38" s="10"/>
      <c r="F38" s="9"/>
      <c r="G38" s="10"/>
      <c r="H38" s="21">
        <v>10</v>
      </c>
      <c r="J38" s="11">
        <v>109000</v>
      </c>
      <c r="K38" s="152">
        <f t="shared" si="19"/>
        <v>5.0374264979406238</v>
      </c>
      <c r="L38" s="11"/>
      <c r="M38" s="11"/>
      <c r="N38" s="11"/>
      <c r="O38" s="11"/>
      <c r="P38" s="4"/>
    </row>
    <row r="39" spans="2:16" customFormat="1" x14ac:dyDescent="0.25">
      <c r="B39" s="22"/>
      <c r="C39" s="10" t="s">
        <v>85</v>
      </c>
      <c r="D39" s="9"/>
      <c r="E39" s="10"/>
      <c r="F39" s="9"/>
      <c r="G39" s="10"/>
      <c r="H39" s="21">
        <v>20</v>
      </c>
      <c r="I39" s="26" t="s">
        <v>53</v>
      </c>
      <c r="J39" s="129">
        <v>104333.33333333333</v>
      </c>
      <c r="K39" s="152">
        <f t="shared" si="19"/>
        <v>5.0184230828267857</v>
      </c>
      <c r="L39" s="11"/>
      <c r="M39" s="11"/>
      <c r="N39" s="11"/>
      <c r="O39" s="11"/>
      <c r="P39" s="4"/>
    </row>
    <row r="40" spans="2:16" customFormat="1" x14ac:dyDescent="0.25">
      <c r="B40" s="22"/>
      <c r="C40" s="10" t="s">
        <v>86</v>
      </c>
      <c r="D40" s="9"/>
      <c r="E40" s="10"/>
      <c r="F40" s="9"/>
      <c r="G40" s="10"/>
      <c r="H40" s="21">
        <v>30</v>
      </c>
      <c r="J40" s="11">
        <v>79000</v>
      </c>
      <c r="K40" s="152">
        <f t="shared" si="19"/>
        <v>4.8976270912904418</v>
      </c>
      <c r="L40" s="11"/>
      <c r="M40" s="11"/>
      <c r="N40" s="11"/>
      <c r="O40" s="11"/>
      <c r="P40" s="4"/>
    </row>
    <row r="41" spans="2:16" customFormat="1" x14ac:dyDescent="0.25">
      <c r="B41" s="22"/>
      <c r="C41" s="10" t="s">
        <v>87</v>
      </c>
      <c r="D41" s="9"/>
      <c r="E41" s="10"/>
      <c r="F41" s="9"/>
      <c r="G41" s="10"/>
      <c r="H41" s="21">
        <v>40</v>
      </c>
      <c r="J41" s="11">
        <v>59000</v>
      </c>
      <c r="K41" s="152">
        <f t="shared" si="19"/>
        <v>4.7708520116421438</v>
      </c>
      <c r="L41" s="11"/>
      <c r="M41" s="11"/>
      <c r="N41" s="11"/>
      <c r="O41" s="11"/>
      <c r="P41" s="4"/>
    </row>
    <row r="42" spans="2:16" customFormat="1" ht="15.75" thickBot="1" x14ac:dyDescent="0.3">
      <c r="B42" s="23"/>
      <c r="C42" s="13" t="s">
        <v>88</v>
      </c>
      <c r="D42" s="14"/>
      <c r="E42" s="13"/>
      <c r="F42" s="14"/>
      <c r="G42" s="13"/>
      <c r="H42" s="24">
        <v>50</v>
      </c>
      <c r="J42" s="15">
        <v>82000</v>
      </c>
      <c r="K42" s="153">
        <f t="shared" si="19"/>
        <v>4.9138138523837167</v>
      </c>
      <c r="L42" s="15"/>
      <c r="M42" s="15"/>
      <c r="N42" s="15"/>
      <c r="O42" s="15"/>
      <c r="P42" s="4"/>
    </row>
    <row r="43" spans="2:16" customFormat="1" x14ac:dyDescent="0.25">
      <c r="J43" s="35"/>
      <c r="K43" s="35"/>
      <c r="L43" s="35"/>
      <c r="M43" s="35"/>
      <c r="N43" s="35"/>
      <c r="O43" s="4" t="s">
        <v>246</v>
      </c>
      <c r="P43" s="4"/>
    </row>
    <row r="44" spans="2:16" customFormat="1" x14ac:dyDescent="0.25">
      <c r="O44" s="147">
        <f>AVERAGE(O5,O13,O21,O29)</f>
        <v>0.30660159870657333</v>
      </c>
      <c r="P44" s="4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0"/>
  <sheetViews>
    <sheetView zoomScaleNormal="100" workbookViewId="0"/>
  </sheetViews>
  <sheetFormatPr defaultColWidth="10.5703125" defaultRowHeight="15" x14ac:dyDescent="0.25"/>
  <cols>
    <col min="1" max="1" width="10.5703125" customWidth="1"/>
    <col min="2" max="2" width="24.28515625" customWidth="1"/>
    <col min="3" max="3" width="28" customWidth="1"/>
    <col min="4" max="5" width="23.7109375" customWidth="1"/>
    <col min="6" max="6" width="22.28515625" customWidth="1"/>
    <col min="7" max="7" width="25.42578125" customWidth="1"/>
    <col min="8" max="8" width="40.7109375" customWidth="1"/>
    <col min="9" max="9" width="25.28515625" customWidth="1"/>
    <col min="10" max="13" width="26.42578125" customWidth="1"/>
    <col min="14" max="14" width="28.7109375" customWidth="1"/>
    <col min="15" max="15" width="26.42578125" customWidth="1"/>
    <col min="16" max="19" width="27.140625" customWidth="1"/>
    <col min="20" max="21" width="34.42578125" customWidth="1"/>
    <col min="23" max="23" width="27.85546875" bestFit="1" customWidth="1"/>
    <col min="24" max="24" width="22.7109375" bestFit="1" customWidth="1"/>
    <col min="25" max="25" width="22.7109375" customWidth="1"/>
    <col min="26" max="26" width="12.140625" bestFit="1" customWidth="1"/>
    <col min="27" max="27" width="13.7109375" customWidth="1"/>
    <col min="29" max="29" width="27.85546875" bestFit="1" customWidth="1"/>
    <col min="30" max="30" width="22.7109375" bestFit="1" customWidth="1"/>
    <col min="31" max="31" width="22.7109375" customWidth="1"/>
    <col min="32" max="32" width="12.140625" bestFit="1" customWidth="1"/>
    <col min="33" max="33" width="14.28515625" customWidth="1"/>
    <col min="35" max="35" width="27.85546875" bestFit="1" customWidth="1"/>
    <col min="36" max="36" width="22.7109375" bestFit="1" customWidth="1"/>
    <col min="37" max="37" width="22.7109375" customWidth="1"/>
    <col min="38" max="38" width="12.140625" bestFit="1" customWidth="1"/>
    <col min="39" max="39" width="12.140625" customWidth="1"/>
    <col min="41" max="41" width="27.85546875" bestFit="1" customWidth="1"/>
    <col min="42" max="42" width="22.7109375" bestFit="1" customWidth="1"/>
    <col min="43" max="43" width="22.7109375" customWidth="1"/>
    <col min="44" max="44" width="12.140625" bestFit="1" customWidth="1"/>
    <col min="45" max="45" width="12.140625" customWidth="1"/>
    <col min="47" max="47" width="27.85546875" bestFit="1" customWidth="1"/>
    <col min="48" max="48" width="26.7109375" bestFit="1" customWidth="1"/>
    <col min="49" max="49" width="12.140625" bestFit="1" customWidth="1"/>
  </cols>
  <sheetData>
    <row r="1" spans="1:49" ht="23.25" x14ac:dyDescent="0.35">
      <c r="A1" s="76"/>
    </row>
    <row r="2" spans="1:49" ht="24" thickBot="1" x14ac:dyDescent="0.4">
      <c r="B2" s="42" t="s">
        <v>97</v>
      </c>
      <c r="W2" s="96" t="s">
        <v>195</v>
      </c>
      <c r="X2" s="4"/>
      <c r="Y2" s="4"/>
      <c r="Z2" s="4"/>
      <c r="AA2" s="4"/>
      <c r="AB2" s="4"/>
      <c r="AC2" s="4"/>
      <c r="AD2" s="4"/>
      <c r="AE2" s="4"/>
      <c r="AF2" s="4"/>
      <c r="AG2" s="4"/>
      <c r="AU2" s="108"/>
      <c r="AV2" s="108"/>
      <c r="AW2" s="108"/>
    </row>
    <row r="3" spans="1:49" ht="15.75" thickBot="1" x14ac:dyDescent="0.3">
      <c r="W3" s="109" t="s">
        <v>196</v>
      </c>
      <c r="X3" s="86" t="s">
        <v>207</v>
      </c>
      <c r="Y3" s="104" t="s">
        <v>215</v>
      </c>
      <c r="Z3" s="92" t="s">
        <v>197</v>
      </c>
      <c r="AA3" s="103" t="s">
        <v>2</v>
      </c>
      <c r="AB3" s="4"/>
      <c r="AC3" s="102" t="s">
        <v>196</v>
      </c>
      <c r="AD3" s="103" t="s">
        <v>208</v>
      </c>
      <c r="AE3" s="104" t="s">
        <v>215</v>
      </c>
      <c r="AF3" s="104" t="s">
        <v>197</v>
      </c>
      <c r="AG3" s="103" t="s">
        <v>2</v>
      </c>
      <c r="AI3" s="102" t="s">
        <v>196</v>
      </c>
      <c r="AJ3" s="103" t="s">
        <v>209</v>
      </c>
      <c r="AK3" s="104" t="s">
        <v>215</v>
      </c>
      <c r="AL3" s="104" t="s">
        <v>197</v>
      </c>
      <c r="AM3" s="103" t="s">
        <v>2</v>
      </c>
      <c r="AO3" s="102" t="s">
        <v>196</v>
      </c>
      <c r="AP3" s="103" t="s">
        <v>210</v>
      </c>
      <c r="AQ3" s="104" t="s">
        <v>215</v>
      </c>
      <c r="AR3" s="104" t="s">
        <v>197</v>
      </c>
      <c r="AS3" s="103" t="s">
        <v>2</v>
      </c>
      <c r="AU3" s="35"/>
      <c r="AV3" s="35"/>
      <c r="AW3" s="35"/>
    </row>
    <row r="4" spans="1:49" ht="15.75" thickBot="1" x14ac:dyDescent="0.3">
      <c r="B4" s="5" t="s">
        <v>18</v>
      </c>
      <c r="C4" s="6" t="s">
        <v>19</v>
      </c>
      <c r="D4" s="5" t="s">
        <v>20</v>
      </c>
      <c r="E4" s="6" t="s">
        <v>21</v>
      </c>
      <c r="F4" s="5" t="s">
        <v>22</v>
      </c>
      <c r="G4" s="6" t="s">
        <v>23</v>
      </c>
      <c r="H4" s="5" t="s">
        <v>247</v>
      </c>
      <c r="J4" s="7" t="s">
        <v>238</v>
      </c>
      <c r="K4" s="7" t="s">
        <v>240</v>
      </c>
      <c r="L4" s="7" t="s">
        <v>241</v>
      </c>
      <c r="M4" s="7" t="s">
        <v>242</v>
      </c>
      <c r="N4" s="7" t="s">
        <v>218</v>
      </c>
      <c r="O4" s="25" t="s">
        <v>243</v>
      </c>
      <c r="P4" s="7" t="s">
        <v>130</v>
      </c>
      <c r="Q4" s="7" t="s">
        <v>240</v>
      </c>
      <c r="R4" s="7" t="s">
        <v>241</v>
      </c>
      <c r="S4" s="7" t="s">
        <v>242</v>
      </c>
      <c r="T4" s="7" t="s">
        <v>218</v>
      </c>
      <c r="U4" s="25" t="s">
        <v>243</v>
      </c>
      <c r="W4" s="44">
        <v>0</v>
      </c>
      <c r="X4" s="45">
        <v>154.19999999999999</v>
      </c>
      <c r="Y4" s="126">
        <f t="shared" ref="Y4:Y40" si="0">(X4-32)*0.556</f>
        <v>67.943200000000004</v>
      </c>
      <c r="Z4" s="47">
        <v>287</v>
      </c>
      <c r="AA4" s="80">
        <f t="shared" ref="AA4:AA40" si="1">Z4*3.785</f>
        <v>1086.2950000000001</v>
      </c>
      <c r="AB4" s="106"/>
      <c r="AC4" s="97">
        <v>0</v>
      </c>
      <c r="AD4" s="101">
        <v>147.1</v>
      </c>
      <c r="AE4" s="126">
        <f t="shared" ref="AE4:AE37" si="2">(AD4-32)*0.556</f>
        <v>63.995600000000003</v>
      </c>
      <c r="AF4" s="98">
        <v>290</v>
      </c>
      <c r="AG4" s="80">
        <f t="shared" ref="AG4:AG37" si="3">AF4*3.785</f>
        <v>1097.6500000000001</v>
      </c>
      <c r="AH4" s="33"/>
      <c r="AI4" s="97">
        <v>0</v>
      </c>
      <c r="AJ4" s="101">
        <v>140</v>
      </c>
      <c r="AK4" s="126">
        <f t="shared" ref="AK4:AK38" si="4">(AJ4-32)*0.556</f>
        <v>60.048000000000002</v>
      </c>
      <c r="AL4" s="98">
        <v>292</v>
      </c>
      <c r="AM4" s="80">
        <f t="shared" ref="AM4:AM38" si="5">AL4*3.785</f>
        <v>1105.22</v>
      </c>
      <c r="AN4" s="33"/>
      <c r="AO4" s="97">
        <v>0</v>
      </c>
      <c r="AP4" s="101">
        <v>134.9</v>
      </c>
      <c r="AQ4" s="126">
        <f t="shared" ref="AQ4:AQ37" si="6">(AP4-32)*0.556</f>
        <v>57.212400000000009</v>
      </c>
      <c r="AR4" s="98">
        <v>300</v>
      </c>
      <c r="AS4" s="80">
        <f t="shared" ref="AS4:AS37" si="7">AR4*3.785</f>
        <v>1135.5</v>
      </c>
      <c r="AU4" s="35"/>
      <c r="AV4" s="35"/>
      <c r="AW4" s="35"/>
    </row>
    <row r="5" spans="1:49" x14ac:dyDescent="0.25">
      <c r="B5" s="20">
        <v>42118</v>
      </c>
      <c r="C5" s="10" t="s">
        <v>98</v>
      </c>
      <c r="D5" s="9">
        <v>11</v>
      </c>
      <c r="E5" s="10">
        <v>57</v>
      </c>
      <c r="F5" s="9">
        <v>1065</v>
      </c>
      <c r="G5" s="10">
        <v>1</v>
      </c>
      <c r="H5" s="21">
        <v>0</v>
      </c>
      <c r="J5" s="11">
        <v>30000</v>
      </c>
      <c r="K5" s="157">
        <f t="shared" ref="K5:K16" si="8">LOG10(J5)</f>
        <v>4.4771212547196626</v>
      </c>
      <c r="L5" s="214">
        <f>AVERAGE(K5:K10)</f>
        <v>4.4546484803749191</v>
      </c>
      <c r="M5" s="214">
        <f>_xlfn.STDEV.S(K5:K10)</f>
        <v>3.1521535303929857E-2</v>
      </c>
      <c r="N5" s="214">
        <f>L5-L11</f>
        <v>-2.0901010881946291E-4</v>
      </c>
      <c r="O5" s="214">
        <f>M5+M11</f>
        <v>5.4230942539085197E-2</v>
      </c>
      <c r="P5" s="36">
        <v>57000</v>
      </c>
      <c r="Q5" s="158">
        <f t="shared" ref="Q5:Q16" si="9">LOG10(P5)</f>
        <v>4.7558748556724915</v>
      </c>
      <c r="R5" s="159">
        <f>AVERAGE(Q5:Q10)</f>
        <v>4.9576338069073485</v>
      </c>
      <c r="S5" s="159">
        <f>_xlfn.STDEV.S(Q5:Q10)</f>
        <v>0.20367906910717495</v>
      </c>
      <c r="T5" s="159">
        <f>R5-R11</f>
        <v>0.40680716440772891</v>
      </c>
      <c r="U5" s="158">
        <f>S5+S11</f>
        <v>0.26558996425617459</v>
      </c>
      <c r="W5" s="97">
        <f>W4+30</f>
        <v>30</v>
      </c>
      <c r="X5" s="101">
        <v>154.30000000000001</v>
      </c>
      <c r="Y5" s="117">
        <f t="shared" si="0"/>
        <v>67.998800000000017</v>
      </c>
      <c r="Z5" s="98">
        <v>289</v>
      </c>
      <c r="AA5" s="80">
        <f t="shared" si="1"/>
        <v>1093.865</v>
      </c>
      <c r="AB5" s="106"/>
      <c r="AC5" s="97">
        <f t="shared" ref="AC5:AC40" si="10">AC4+30</f>
        <v>30</v>
      </c>
      <c r="AD5" s="101">
        <v>147.30000000000001</v>
      </c>
      <c r="AE5" s="117">
        <f t="shared" si="2"/>
        <v>64.106800000000007</v>
      </c>
      <c r="AF5" s="98">
        <v>296</v>
      </c>
      <c r="AG5" s="80">
        <f t="shared" si="3"/>
        <v>1120.3600000000001</v>
      </c>
      <c r="AH5" s="33"/>
      <c r="AI5" s="97">
        <f t="shared" ref="AI5:AI40" si="11">AI4+30</f>
        <v>30</v>
      </c>
      <c r="AJ5" s="101">
        <v>139.80000000000001</v>
      </c>
      <c r="AK5" s="117">
        <f t="shared" si="4"/>
        <v>59.936800000000012</v>
      </c>
      <c r="AL5" s="98">
        <v>289</v>
      </c>
      <c r="AM5" s="80">
        <f t="shared" si="5"/>
        <v>1093.865</v>
      </c>
      <c r="AN5" s="33"/>
      <c r="AO5" s="97">
        <f t="shared" ref="AO5:AO40" si="12">AO4+30</f>
        <v>30</v>
      </c>
      <c r="AP5" s="101">
        <v>134.9</v>
      </c>
      <c r="AQ5" s="117">
        <f t="shared" si="6"/>
        <v>57.212400000000009</v>
      </c>
      <c r="AR5" s="98">
        <v>301</v>
      </c>
      <c r="AS5" s="80">
        <f t="shared" si="7"/>
        <v>1139.2850000000001</v>
      </c>
      <c r="AU5" s="35"/>
      <c r="AV5" s="35"/>
      <c r="AW5" s="35"/>
    </row>
    <row r="6" spans="1:49" x14ac:dyDescent="0.25">
      <c r="B6" s="22"/>
      <c r="C6" s="10" t="s">
        <v>99</v>
      </c>
      <c r="D6" s="9"/>
      <c r="E6" s="10"/>
      <c r="F6" s="9"/>
      <c r="G6" s="10"/>
      <c r="H6" s="21">
        <v>20</v>
      </c>
      <c r="J6" s="11">
        <v>26500</v>
      </c>
      <c r="K6" s="141">
        <f t="shared" si="8"/>
        <v>4.4232458739368079</v>
      </c>
      <c r="L6" s="215"/>
      <c r="M6" s="215"/>
      <c r="N6" s="215"/>
      <c r="O6" s="215"/>
      <c r="P6" s="37">
        <v>63000</v>
      </c>
      <c r="Q6" s="160">
        <f t="shared" si="9"/>
        <v>4.7993405494535821</v>
      </c>
      <c r="R6" s="37"/>
      <c r="S6" s="37"/>
      <c r="T6" s="37"/>
      <c r="U6" s="37"/>
      <c r="W6" s="97">
        <f t="shared" ref="W6:W40" si="13">W5+30</f>
        <v>60</v>
      </c>
      <c r="X6" s="101">
        <v>154.30000000000001</v>
      </c>
      <c r="Y6" s="117">
        <f t="shared" si="0"/>
        <v>67.998800000000017</v>
      </c>
      <c r="Z6" s="98">
        <v>290</v>
      </c>
      <c r="AA6" s="80">
        <f t="shared" si="1"/>
        <v>1097.6500000000001</v>
      </c>
      <c r="AB6" s="106"/>
      <c r="AC6" s="97">
        <f t="shared" si="10"/>
        <v>60</v>
      </c>
      <c r="AD6" s="101">
        <v>147.30000000000001</v>
      </c>
      <c r="AE6" s="117">
        <f t="shared" si="2"/>
        <v>64.106800000000007</v>
      </c>
      <c r="AF6" s="98">
        <v>293</v>
      </c>
      <c r="AG6" s="80">
        <f t="shared" si="3"/>
        <v>1109.0050000000001</v>
      </c>
      <c r="AH6" s="33"/>
      <c r="AI6" s="97">
        <f t="shared" si="11"/>
        <v>60</v>
      </c>
      <c r="AJ6" s="101">
        <v>140</v>
      </c>
      <c r="AK6" s="117">
        <f t="shared" si="4"/>
        <v>60.048000000000002</v>
      </c>
      <c r="AL6" s="98">
        <v>296</v>
      </c>
      <c r="AM6" s="80">
        <f t="shared" si="5"/>
        <v>1120.3600000000001</v>
      </c>
      <c r="AN6" s="33"/>
      <c r="AO6" s="97">
        <f t="shared" si="12"/>
        <v>60</v>
      </c>
      <c r="AP6" s="101">
        <v>135</v>
      </c>
      <c r="AQ6" s="117">
        <f t="shared" si="6"/>
        <v>57.268000000000008</v>
      </c>
      <c r="AR6" s="98">
        <v>292</v>
      </c>
      <c r="AS6" s="80">
        <f t="shared" si="7"/>
        <v>1105.22</v>
      </c>
      <c r="AU6" s="35"/>
      <c r="AV6" s="35"/>
      <c r="AW6" s="35"/>
    </row>
    <row r="7" spans="1:49" x14ac:dyDescent="0.25">
      <c r="B7" s="22"/>
      <c r="C7" s="10" t="s">
        <v>100</v>
      </c>
      <c r="D7" s="9"/>
      <c r="E7" s="10"/>
      <c r="F7" s="9"/>
      <c r="G7" s="10"/>
      <c r="H7" s="21">
        <v>40</v>
      </c>
      <c r="J7" s="11">
        <v>28500</v>
      </c>
      <c r="K7" s="141">
        <f t="shared" si="8"/>
        <v>4.4548448600085102</v>
      </c>
      <c r="L7" s="215"/>
      <c r="M7" s="215"/>
      <c r="N7" s="215"/>
      <c r="O7" s="215"/>
      <c r="P7" s="37">
        <v>69000</v>
      </c>
      <c r="Q7" s="160">
        <f t="shared" si="9"/>
        <v>4.8388490907372557</v>
      </c>
      <c r="R7" s="37"/>
      <c r="S7" s="37"/>
      <c r="T7" s="37"/>
      <c r="U7" s="37"/>
      <c r="W7" s="97">
        <f t="shared" si="13"/>
        <v>90</v>
      </c>
      <c r="X7" s="101">
        <v>154.30000000000001</v>
      </c>
      <c r="Y7" s="117">
        <f t="shared" si="0"/>
        <v>67.998800000000017</v>
      </c>
      <c r="Z7" s="98">
        <v>292</v>
      </c>
      <c r="AA7" s="80">
        <f t="shared" si="1"/>
        <v>1105.22</v>
      </c>
      <c r="AB7" s="106"/>
      <c r="AC7" s="97">
        <f t="shared" si="10"/>
        <v>90</v>
      </c>
      <c r="AD7" s="101">
        <v>147.4</v>
      </c>
      <c r="AE7" s="117">
        <f t="shared" si="2"/>
        <v>64.162400000000005</v>
      </c>
      <c r="AF7" s="98">
        <v>300</v>
      </c>
      <c r="AG7" s="80">
        <f t="shared" si="3"/>
        <v>1135.5</v>
      </c>
      <c r="AH7" s="33"/>
      <c r="AI7" s="97">
        <f t="shared" si="11"/>
        <v>90</v>
      </c>
      <c r="AJ7" s="101">
        <v>140</v>
      </c>
      <c r="AK7" s="117">
        <f t="shared" si="4"/>
        <v>60.048000000000002</v>
      </c>
      <c r="AL7" s="98">
        <v>287</v>
      </c>
      <c r="AM7" s="80">
        <f t="shared" si="5"/>
        <v>1086.2950000000001</v>
      </c>
      <c r="AN7" s="33"/>
      <c r="AO7" s="97">
        <f t="shared" si="12"/>
        <v>90</v>
      </c>
      <c r="AP7" s="101">
        <v>134.9</v>
      </c>
      <c r="AQ7" s="117">
        <f t="shared" si="6"/>
        <v>57.212400000000009</v>
      </c>
      <c r="AR7" s="98">
        <v>300</v>
      </c>
      <c r="AS7" s="80">
        <f t="shared" si="7"/>
        <v>1135.5</v>
      </c>
      <c r="AU7" s="35"/>
      <c r="AV7" s="35"/>
      <c r="AW7" s="35"/>
    </row>
    <row r="8" spans="1:49" x14ac:dyDescent="0.25">
      <c r="B8" s="22"/>
      <c r="C8" s="10" t="s">
        <v>101</v>
      </c>
      <c r="D8" s="9"/>
      <c r="E8" s="10"/>
      <c r="F8" s="9"/>
      <c r="G8" s="10"/>
      <c r="H8" s="21">
        <v>60</v>
      </c>
      <c r="J8" s="11">
        <v>28400</v>
      </c>
      <c r="K8" s="141">
        <f t="shared" si="8"/>
        <v>4.453318340047038</v>
      </c>
      <c r="L8" s="215"/>
      <c r="M8" s="215"/>
      <c r="N8" s="215"/>
      <c r="O8" s="215"/>
      <c r="P8" s="37">
        <v>130000</v>
      </c>
      <c r="Q8" s="160">
        <f t="shared" si="9"/>
        <v>5.1139433523068369</v>
      </c>
      <c r="R8" s="37"/>
      <c r="S8" s="37"/>
      <c r="T8" s="37"/>
      <c r="U8" s="37"/>
      <c r="W8" s="97">
        <f t="shared" si="13"/>
        <v>120</v>
      </c>
      <c r="X8" s="101">
        <v>154.5</v>
      </c>
      <c r="Y8" s="117">
        <f t="shared" si="0"/>
        <v>68.11</v>
      </c>
      <c r="Z8" s="98">
        <v>288</v>
      </c>
      <c r="AA8" s="80">
        <f t="shared" si="1"/>
        <v>1090.08</v>
      </c>
      <c r="AB8" s="106"/>
      <c r="AC8" s="97">
        <f t="shared" si="10"/>
        <v>120</v>
      </c>
      <c r="AD8" s="101">
        <v>147.5</v>
      </c>
      <c r="AE8" s="117">
        <f t="shared" si="2"/>
        <v>64.218000000000004</v>
      </c>
      <c r="AF8" s="98">
        <v>285</v>
      </c>
      <c r="AG8" s="80">
        <f t="shared" si="3"/>
        <v>1078.7250000000001</v>
      </c>
      <c r="AH8" s="33"/>
      <c r="AI8" s="97">
        <f t="shared" si="11"/>
        <v>120</v>
      </c>
      <c r="AJ8" s="101">
        <v>140.1</v>
      </c>
      <c r="AK8" s="117">
        <f t="shared" si="4"/>
        <v>60.1036</v>
      </c>
      <c r="AL8" s="98">
        <v>291</v>
      </c>
      <c r="AM8" s="80">
        <f t="shared" si="5"/>
        <v>1101.4349999999999</v>
      </c>
      <c r="AN8" s="33"/>
      <c r="AO8" s="97">
        <f t="shared" si="12"/>
        <v>120</v>
      </c>
      <c r="AP8" s="101">
        <v>134.80000000000001</v>
      </c>
      <c r="AQ8" s="117">
        <f t="shared" si="6"/>
        <v>57.156800000000011</v>
      </c>
      <c r="AR8" s="98">
        <v>294</v>
      </c>
      <c r="AS8" s="80">
        <f t="shared" si="7"/>
        <v>1112.79</v>
      </c>
      <c r="AU8" s="35"/>
      <c r="AV8" s="35"/>
      <c r="AW8" s="35"/>
    </row>
    <row r="9" spans="1:49" x14ac:dyDescent="0.25">
      <c r="B9" s="22"/>
      <c r="C9" s="10" t="s">
        <v>102</v>
      </c>
      <c r="D9" s="9"/>
      <c r="E9" s="10"/>
      <c r="F9" s="9"/>
      <c r="G9" s="10"/>
      <c r="H9" s="21">
        <v>80</v>
      </c>
      <c r="J9" s="11">
        <v>26200</v>
      </c>
      <c r="K9" s="141">
        <f t="shared" si="8"/>
        <v>4.4183012913197457</v>
      </c>
      <c r="L9" s="215"/>
      <c r="M9" s="215"/>
      <c r="N9" s="215"/>
      <c r="O9" s="215"/>
      <c r="P9" s="37">
        <v>190000</v>
      </c>
      <c r="Q9" s="160">
        <f t="shared" si="9"/>
        <v>5.2787536009528289</v>
      </c>
      <c r="R9" s="37"/>
      <c r="S9" s="37"/>
      <c r="T9" s="37"/>
      <c r="U9" s="37"/>
      <c r="W9" s="97">
        <f t="shared" si="13"/>
        <v>150</v>
      </c>
      <c r="X9" s="101">
        <v>154.6</v>
      </c>
      <c r="Y9" s="117">
        <f t="shared" si="0"/>
        <v>68.165599999999998</v>
      </c>
      <c r="Z9" s="98">
        <v>293</v>
      </c>
      <c r="AA9" s="80">
        <f t="shared" si="1"/>
        <v>1109.0050000000001</v>
      </c>
      <c r="AB9" s="106"/>
      <c r="AC9" s="97">
        <f t="shared" si="10"/>
        <v>150</v>
      </c>
      <c r="AD9" s="101">
        <v>147.30000000000001</v>
      </c>
      <c r="AE9" s="117">
        <f t="shared" si="2"/>
        <v>64.106800000000007</v>
      </c>
      <c r="AF9" s="98">
        <v>288</v>
      </c>
      <c r="AG9" s="80">
        <f t="shared" si="3"/>
        <v>1090.08</v>
      </c>
      <c r="AH9" s="33"/>
      <c r="AI9" s="97">
        <f t="shared" si="11"/>
        <v>150</v>
      </c>
      <c r="AJ9" s="101">
        <v>140.19999999999999</v>
      </c>
      <c r="AK9" s="117">
        <f t="shared" si="4"/>
        <v>60.159199999999998</v>
      </c>
      <c r="AL9" s="98">
        <v>293</v>
      </c>
      <c r="AM9" s="80">
        <f t="shared" si="5"/>
        <v>1109.0050000000001</v>
      </c>
      <c r="AN9" s="33"/>
      <c r="AO9" s="97">
        <f t="shared" si="12"/>
        <v>150</v>
      </c>
      <c r="AP9" s="101">
        <v>134.80000000000001</v>
      </c>
      <c r="AQ9" s="117">
        <f t="shared" si="6"/>
        <v>57.156800000000011</v>
      </c>
      <c r="AR9" s="98">
        <v>299</v>
      </c>
      <c r="AS9" s="80">
        <f t="shared" si="7"/>
        <v>1131.7150000000001</v>
      </c>
      <c r="AU9" s="35"/>
      <c r="AV9" s="35"/>
      <c r="AW9" s="35"/>
    </row>
    <row r="10" spans="1:49" ht="15.75" thickBot="1" x14ac:dyDescent="0.3">
      <c r="B10" s="23"/>
      <c r="C10" s="13" t="s">
        <v>103</v>
      </c>
      <c r="D10" s="14"/>
      <c r="E10" s="13"/>
      <c r="F10" s="14"/>
      <c r="G10" s="13"/>
      <c r="H10" s="24">
        <v>100</v>
      </c>
      <c r="J10" s="15">
        <v>31700</v>
      </c>
      <c r="K10" s="142">
        <f t="shared" si="8"/>
        <v>4.5010592622177512</v>
      </c>
      <c r="L10" s="216"/>
      <c r="M10" s="216"/>
      <c r="N10" s="216"/>
      <c r="O10" s="216"/>
      <c r="P10" s="38">
        <v>91000</v>
      </c>
      <c r="Q10" s="161">
        <f t="shared" si="9"/>
        <v>4.9590413923210939</v>
      </c>
      <c r="R10" s="38"/>
      <c r="S10" s="38"/>
      <c r="T10" s="38"/>
      <c r="U10" s="38"/>
      <c r="W10" s="97">
        <f t="shared" si="13"/>
        <v>180</v>
      </c>
      <c r="X10" s="101">
        <v>154.5</v>
      </c>
      <c r="Y10" s="117">
        <f t="shared" si="0"/>
        <v>68.11</v>
      </c>
      <c r="Z10" s="98">
        <v>286</v>
      </c>
      <c r="AA10" s="80">
        <f t="shared" si="1"/>
        <v>1082.51</v>
      </c>
      <c r="AB10" s="106"/>
      <c r="AC10" s="97">
        <f t="shared" si="10"/>
        <v>180</v>
      </c>
      <c r="AD10" s="101">
        <v>147.30000000000001</v>
      </c>
      <c r="AE10" s="117">
        <f t="shared" si="2"/>
        <v>64.106800000000007</v>
      </c>
      <c r="AF10" s="98">
        <v>289</v>
      </c>
      <c r="AG10" s="80">
        <f t="shared" si="3"/>
        <v>1093.865</v>
      </c>
      <c r="AH10" s="33"/>
      <c r="AI10" s="97">
        <f t="shared" si="11"/>
        <v>180</v>
      </c>
      <c r="AJ10" s="101">
        <v>140.1</v>
      </c>
      <c r="AK10" s="117">
        <f t="shared" si="4"/>
        <v>60.1036</v>
      </c>
      <c r="AL10" s="98">
        <v>294</v>
      </c>
      <c r="AM10" s="80">
        <f t="shared" si="5"/>
        <v>1112.79</v>
      </c>
      <c r="AN10" s="33"/>
      <c r="AO10" s="97">
        <f t="shared" si="12"/>
        <v>180</v>
      </c>
      <c r="AP10" s="101">
        <v>134.80000000000001</v>
      </c>
      <c r="AQ10" s="117">
        <f t="shared" si="6"/>
        <v>57.156800000000011</v>
      </c>
      <c r="AR10" s="98">
        <v>297</v>
      </c>
      <c r="AS10" s="80">
        <f t="shared" si="7"/>
        <v>1124.145</v>
      </c>
      <c r="AU10" s="35"/>
      <c r="AV10" s="35"/>
      <c r="AW10" s="35"/>
    </row>
    <row r="11" spans="1:49" x14ac:dyDescent="0.25">
      <c r="B11" s="20">
        <v>42118</v>
      </c>
      <c r="C11" s="30" t="s">
        <v>104</v>
      </c>
      <c r="D11" s="31">
        <v>11</v>
      </c>
      <c r="E11" s="30">
        <v>57</v>
      </c>
      <c r="F11" s="31">
        <v>1065</v>
      </c>
      <c r="G11" s="30">
        <v>6</v>
      </c>
      <c r="H11" s="21">
        <v>0</v>
      </c>
      <c r="J11" s="11">
        <v>27700</v>
      </c>
      <c r="K11" s="157">
        <f t="shared" si="8"/>
        <v>4.4424797690644482</v>
      </c>
      <c r="L11" s="214">
        <f>AVERAGE(K11:K16)</f>
        <v>4.4548574904837386</v>
      </c>
      <c r="M11" s="214">
        <f>_xlfn.STDEV.S(K11:K16)</f>
        <v>2.2709407235155341E-2</v>
      </c>
      <c r="N11" s="214"/>
      <c r="O11" s="214"/>
      <c r="P11" s="37">
        <v>37000</v>
      </c>
      <c r="Q11" s="158">
        <f t="shared" si="9"/>
        <v>4.568201724066995</v>
      </c>
      <c r="R11" s="159">
        <f>AVERAGE(Q11:Q16)</f>
        <v>4.5508266424996195</v>
      </c>
      <c r="S11" s="159">
        <f>_xlfn.STDEV.S(Q11:Q16)</f>
        <v>6.1910895148999633E-2</v>
      </c>
      <c r="T11" s="159"/>
      <c r="U11" s="158"/>
      <c r="W11" s="97">
        <f t="shared" si="13"/>
        <v>210</v>
      </c>
      <c r="X11" s="101">
        <v>154.6</v>
      </c>
      <c r="Y11" s="117">
        <f t="shared" si="0"/>
        <v>68.165599999999998</v>
      </c>
      <c r="Z11" s="98">
        <v>291</v>
      </c>
      <c r="AA11" s="80">
        <f t="shared" si="1"/>
        <v>1101.4349999999999</v>
      </c>
      <c r="AB11" s="106"/>
      <c r="AC11" s="97">
        <f t="shared" si="10"/>
        <v>210</v>
      </c>
      <c r="AD11" s="101">
        <v>147.19999999999999</v>
      </c>
      <c r="AE11" s="117">
        <f t="shared" si="2"/>
        <v>64.051199999999994</v>
      </c>
      <c r="AF11" s="98">
        <v>291</v>
      </c>
      <c r="AG11" s="80">
        <f t="shared" si="3"/>
        <v>1101.4349999999999</v>
      </c>
      <c r="AH11" s="33"/>
      <c r="AI11" s="97">
        <f t="shared" si="11"/>
        <v>210</v>
      </c>
      <c r="AJ11" s="101">
        <v>140.1</v>
      </c>
      <c r="AK11" s="117">
        <f t="shared" si="4"/>
        <v>60.1036</v>
      </c>
      <c r="AL11" s="98">
        <v>288</v>
      </c>
      <c r="AM11" s="80">
        <f t="shared" si="5"/>
        <v>1090.08</v>
      </c>
      <c r="AN11" s="33"/>
      <c r="AO11" s="97">
        <f t="shared" si="12"/>
        <v>210</v>
      </c>
      <c r="AP11" s="101">
        <v>134.6</v>
      </c>
      <c r="AQ11" s="117">
        <f t="shared" si="6"/>
        <v>57.0456</v>
      </c>
      <c r="AR11" s="98">
        <v>292</v>
      </c>
      <c r="AS11" s="80">
        <f t="shared" si="7"/>
        <v>1105.22</v>
      </c>
      <c r="AU11" s="35"/>
      <c r="AV11" s="35"/>
      <c r="AW11" s="35"/>
    </row>
    <row r="12" spans="1:49" x14ac:dyDescent="0.25">
      <c r="B12" s="22"/>
      <c r="C12" s="10" t="s">
        <v>105</v>
      </c>
      <c r="D12" s="9"/>
      <c r="E12" s="10"/>
      <c r="F12" s="9"/>
      <c r="G12" s="10"/>
      <c r="H12" s="21">
        <v>20</v>
      </c>
      <c r="J12" s="11">
        <v>28500</v>
      </c>
      <c r="K12" s="141">
        <f t="shared" si="8"/>
        <v>4.4548448600085102</v>
      </c>
      <c r="L12" s="215"/>
      <c r="M12" s="215"/>
      <c r="N12" s="215"/>
      <c r="O12" s="215"/>
      <c r="P12" s="37">
        <v>40000</v>
      </c>
      <c r="Q12" s="160">
        <f t="shared" si="9"/>
        <v>4.6020599913279625</v>
      </c>
      <c r="R12" s="37"/>
      <c r="S12" s="37"/>
      <c r="T12" s="37"/>
      <c r="U12" s="37"/>
      <c r="W12" s="97">
        <f t="shared" si="13"/>
        <v>240</v>
      </c>
      <c r="X12" s="101">
        <v>154.5</v>
      </c>
      <c r="Y12" s="117">
        <f t="shared" si="0"/>
        <v>68.11</v>
      </c>
      <c r="Z12" s="98">
        <v>287</v>
      </c>
      <c r="AA12" s="80">
        <f t="shared" si="1"/>
        <v>1086.2950000000001</v>
      </c>
      <c r="AB12" s="106"/>
      <c r="AC12" s="97">
        <f t="shared" si="10"/>
        <v>240</v>
      </c>
      <c r="AD12" s="101">
        <v>147.19999999999999</v>
      </c>
      <c r="AE12" s="117">
        <f t="shared" si="2"/>
        <v>64.051199999999994</v>
      </c>
      <c r="AF12" s="98">
        <v>292</v>
      </c>
      <c r="AG12" s="80">
        <f t="shared" si="3"/>
        <v>1105.22</v>
      </c>
      <c r="AH12" s="33"/>
      <c r="AI12" s="97">
        <f t="shared" si="11"/>
        <v>240</v>
      </c>
      <c r="AJ12" s="101">
        <v>140</v>
      </c>
      <c r="AK12" s="117">
        <f t="shared" si="4"/>
        <v>60.048000000000002</v>
      </c>
      <c r="AL12" s="98">
        <v>293</v>
      </c>
      <c r="AM12" s="80">
        <f t="shared" si="5"/>
        <v>1109.0050000000001</v>
      </c>
      <c r="AN12" s="33"/>
      <c r="AO12" s="97">
        <f t="shared" si="12"/>
        <v>240</v>
      </c>
      <c r="AP12" s="101">
        <v>134.69999999999999</v>
      </c>
      <c r="AQ12" s="117">
        <f t="shared" si="6"/>
        <v>57.101199999999999</v>
      </c>
      <c r="AR12" s="98">
        <v>291</v>
      </c>
      <c r="AS12" s="80">
        <f t="shared" si="7"/>
        <v>1101.4349999999999</v>
      </c>
      <c r="AU12" s="35"/>
      <c r="AV12" s="35"/>
      <c r="AW12" s="35"/>
    </row>
    <row r="13" spans="1:49" x14ac:dyDescent="0.25">
      <c r="B13" s="22"/>
      <c r="C13" s="10" t="s">
        <v>106</v>
      </c>
      <c r="D13" s="9"/>
      <c r="E13" s="10"/>
      <c r="F13" s="9"/>
      <c r="G13" s="10"/>
      <c r="H13" s="21">
        <v>40</v>
      </c>
      <c r="I13" s="26" t="s">
        <v>144</v>
      </c>
      <c r="J13" s="11">
        <v>30800</v>
      </c>
      <c r="K13" s="141">
        <f t="shared" si="8"/>
        <v>4.4885507165004439</v>
      </c>
      <c r="L13" s="215"/>
      <c r="M13" s="215"/>
      <c r="N13" s="215"/>
      <c r="O13" s="215"/>
      <c r="P13" s="37">
        <v>39000</v>
      </c>
      <c r="Q13" s="160">
        <f t="shared" si="9"/>
        <v>4.5910646070264995</v>
      </c>
      <c r="R13" s="37"/>
      <c r="S13" s="37"/>
      <c r="T13" s="37"/>
      <c r="U13" s="37"/>
      <c r="W13" s="97">
        <f t="shared" si="13"/>
        <v>270</v>
      </c>
      <c r="X13" s="101">
        <v>154.4</v>
      </c>
      <c r="Y13" s="117">
        <f t="shared" si="0"/>
        <v>68.054400000000015</v>
      </c>
      <c r="Z13" s="98">
        <v>289</v>
      </c>
      <c r="AA13" s="80">
        <f t="shared" si="1"/>
        <v>1093.865</v>
      </c>
      <c r="AB13" s="106"/>
      <c r="AC13" s="97">
        <f t="shared" si="10"/>
        <v>270</v>
      </c>
      <c r="AD13" s="101">
        <v>147.30000000000001</v>
      </c>
      <c r="AE13" s="117">
        <f t="shared" si="2"/>
        <v>64.106800000000007</v>
      </c>
      <c r="AF13" s="98">
        <v>295</v>
      </c>
      <c r="AG13" s="80">
        <f t="shared" si="3"/>
        <v>1116.575</v>
      </c>
      <c r="AH13" s="33"/>
      <c r="AI13" s="97">
        <f t="shared" si="11"/>
        <v>270</v>
      </c>
      <c r="AJ13" s="101">
        <v>139.9</v>
      </c>
      <c r="AK13" s="117">
        <f t="shared" si="4"/>
        <v>59.992400000000011</v>
      </c>
      <c r="AL13" s="98">
        <v>297</v>
      </c>
      <c r="AM13" s="80">
        <f t="shared" si="5"/>
        <v>1124.145</v>
      </c>
      <c r="AN13" s="33"/>
      <c r="AO13" s="97">
        <f t="shared" si="12"/>
        <v>270</v>
      </c>
      <c r="AP13" s="101">
        <v>134.6</v>
      </c>
      <c r="AQ13" s="117">
        <f t="shared" si="6"/>
        <v>57.0456</v>
      </c>
      <c r="AR13" s="98">
        <v>294</v>
      </c>
      <c r="AS13" s="80">
        <f t="shared" si="7"/>
        <v>1112.79</v>
      </c>
      <c r="AU13" s="35"/>
      <c r="AV13" s="35"/>
      <c r="AW13" s="35"/>
    </row>
    <row r="14" spans="1:49" x14ac:dyDescent="0.25">
      <c r="B14" s="22"/>
      <c r="C14" s="10" t="s">
        <v>107</v>
      </c>
      <c r="D14" s="9"/>
      <c r="E14" s="10"/>
      <c r="F14" s="9"/>
      <c r="G14" s="10"/>
      <c r="H14" s="21">
        <v>60</v>
      </c>
      <c r="J14" s="11">
        <v>26400</v>
      </c>
      <c r="K14" s="141">
        <f t="shared" si="8"/>
        <v>4.4216039268698308</v>
      </c>
      <c r="L14" s="215"/>
      <c r="M14" s="215"/>
      <c r="N14" s="215"/>
      <c r="O14" s="215"/>
      <c r="P14" s="37">
        <v>37000</v>
      </c>
      <c r="Q14" s="160">
        <f t="shared" si="9"/>
        <v>4.568201724066995</v>
      </c>
      <c r="R14" s="37"/>
      <c r="S14" s="37"/>
      <c r="T14" s="37"/>
      <c r="U14" s="37"/>
      <c r="W14" s="97">
        <f t="shared" si="13"/>
        <v>300</v>
      </c>
      <c r="X14" s="101">
        <v>154.30000000000001</v>
      </c>
      <c r="Y14" s="117">
        <f t="shared" si="0"/>
        <v>67.998800000000017</v>
      </c>
      <c r="Z14" s="98">
        <v>286</v>
      </c>
      <c r="AA14" s="80">
        <f t="shared" si="1"/>
        <v>1082.51</v>
      </c>
      <c r="AB14" s="106"/>
      <c r="AC14" s="97">
        <f t="shared" si="10"/>
        <v>300</v>
      </c>
      <c r="AD14" s="101">
        <v>147.5</v>
      </c>
      <c r="AE14" s="117">
        <f t="shared" si="2"/>
        <v>64.218000000000004</v>
      </c>
      <c r="AF14" s="98">
        <v>293</v>
      </c>
      <c r="AG14" s="80">
        <f t="shared" si="3"/>
        <v>1109.0050000000001</v>
      </c>
      <c r="AH14" s="33"/>
      <c r="AI14" s="97">
        <f t="shared" si="11"/>
        <v>300</v>
      </c>
      <c r="AJ14" s="101">
        <v>140</v>
      </c>
      <c r="AK14" s="117">
        <f t="shared" si="4"/>
        <v>60.048000000000002</v>
      </c>
      <c r="AL14" s="98">
        <v>295</v>
      </c>
      <c r="AM14" s="80">
        <f t="shared" si="5"/>
        <v>1116.575</v>
      </c>
      <c r="AN14" s="33"/>
      <c r="AO14" s="97">
        <f t="shared" si="12"/>
        <v>300</v>
      </c>
      <c r="AP14" s="101">
        <v>134.69999999999999</v>
      </c>
      <c r="AQ14" s="117">
        <f t="shared" si="6"/>
        <v>57.101199999999999</v>
      </c>
      <c r="AR14" s="98">
        <v>295</v>
      </c>
      <c r="AS14" s="80">
        <f t="shared" si="7"/>
        <v>1116.575</v>
      </c>
      <c r="AU14" s="35"/>
      <c r="AV14" s="35"/>
      <c r="AW14" s="35"/>
    </row>
    <row r="15" spans="1:49" x14ac:dyDescent="0.25">
      <c r="B15" s="22"/>
      <c r="C15" s="10" t="s">
        <v>108</v>
      </c>
      <c r="D15" s="9"/>
      <c r="E15" s="10"/>
      <c r="F15" s="9"/>
      <c r="G15" s="10"/>
      <c r="H15" s="21">
        <v>80</v>
      </c>
      <c r="J15" s="11">
        <v>29400</v>
      </c>
      <c r="K15" s="141">
        <f t="shared" si="8"/>
        <v>4.4683473304121577</v>
      </c>
      <c r="L15" s="215"/>
      <c r="M15" s="215"/>
      <c r="N15" s="215"/>
      <c r="O15" s="215"/>
      <c r="P15" s="37">
        <v>35000</v>
      </c>
      <c r="Q15" s="160">
        <f t="shared" si="9"/>
        <v>4.5440680443502757</v>
      </c>
      <c r="R15" s="37"/>
      <c r="S15" s="37"/>
      <c r="T15" s="37"/>
      <c r="U15" s="37"/>
      <c r="W15" s="97">
        <f t="shared" si="13"/>
        <v>330</v>
      </c>
      <c r="X15" s="101">
        <v>154.30000000000001</v>
      </c>
      <c r="Y15" s="117">
        <f t="shared" si="0"/>
        <v>67.998800000000017</v>
      </c>
      <c r="Z15" s="98">
        <v>293</v>
      </c>
      <c r="AA15" s="80">
        <f t="shared" si="1"/>
        <v>1109.0050000000001</v>
      </c>
      <c r="AB15" s="106"/>
      <c r="AC15" s="97">
        <f t="shared" si="10"/>
        <v>330</v>
      </c>
      <c r="AD15" s="101">
        <v>147.4</v>
      </c>
      <c r="AE15" s="117">
        <f t="shared" si="2"/>
        <v>64.162400000000005</v>
      </c>
      <c r="AF15" s="98">
        <v>291</v>
      </c>
      <c r="AG15" s="80">
        <f t="shared" si="3"/>
        <v>1101.4349999999999</v>
      </c>
      <c r="AH15" s="33"/>
      <c r="AI15" s="97">
        <f t="shared" si="11"/>
        <v>330</v>
      </c>
      <c r="AJ15" s="101">
        <v>140.1</v>
      </c>
      <c r="AK15" s="117">
        <f t="shared" si="4"/>
        <v>60.1036</v>
      </c>
      <c r="AL15" s="98">
        <v>296</v>
      </c>
      <c r="AM15" s="80">
        <f t="shared" si="5"/>
        <v>1120.3600000000001</v>
      </c>
      <c r="AN15" s="33"/>
      <c r="AO15" s="97">
        <f t="shared" si="12"/>
        <v>330</v>
      </c>
      <c r="AP15" s="101">
        <v>134.80000000000001</v>
      </c>
      <c r="AQ15" s="117">
        <f t="shared" si="6"/>
        <v>57.156800000000011</v>
      </c>
      <c r="AR15" s="98">
        <v>296</v>
      </c>
      <c r="AS15" s="80">
        <f t="shared" si="7"/>
        <v>1120.3600000000001</v>
      </c>
      <c r="AU15" s="35"/>
      <c r="AV15" s="35"/>
      <c r="AW15" s="35"/>
    </row>
    <row r="16" spans="1:49" ht="15.75" thickBot="1" x14ac:dyDescent="0.3">
      <c r="B16" s="23"/>
      <c r="C16" s="13" t="s">
        <v>109</v>
      </c>
      <c r="D16" s="14"/>
      <c r="E16" s="13"/>
      <c r="F16" s="14"/>
      <c r="G16" s="13"/>
      <c r="H16" s="24">
        <v>100</v>
      </c>
      <c r="J16" s="15">
        <v>28400</v>
      </c>
      <c r="K16" s="142">
        <f t="shared" si="8"/>
        <v>4.453318340047038</v>
      </c>
      <c r="L16" s="216"/>
      <c r="M16" s="216"/>
      <c r="N16" s="216"/>
      <c r="O16" s="216"/>
      <c r="P16" s="38">
        <v>27000</v>
      </c>
      <c r="Q16" s="161">
        <f t="shared" si="9"/>
        <v>4.4313637641589869</v>
      </c>
      <c r="R16" s="38"/>
      <c r="S16" s="38"/>
      <c r="T16" s="38"/>
      <c r="U16" s="38"/>
      <c r="W16" s="97">
        <f t="shared" si="13"/>
        <v>360</v>
      </c>
      <c r="X16" s="101">
        <v>154.4</v>
      </c>
      <c r="Y16" s="117">
        <f t="shared" si="0"/>
        <v>68.054400000000015</v>
      </c>
      <c r="Z16" s="98">
        <v>292</v>
      </c>
      <c r="AA16" s="80">
        <f t="shared" si="1"/>
        <v>1105.22</v>
      </c>
      <c r="AB16" s="106"/>
      <c r="AC16" s="97">
        <f t="shared" si="10"/>
        <v>360</v>
      </c>
      <c r="AD16" s="101">
        <v>147.4</v>
      </c>
      <c r="AE16" s="117">
        <f t="shared" si="2"/>
        <v>64.162400000000005</v>
      </c>
      <c r="AF16" s="98">
        <v>295</v>
      </c>
      <c r="AG16" s="80">
        <f t="shared" si="3"/>
        <v>1116.575</v>
      </c>
      <c r="AH16" s="33"/>
      <c r="AI16" s="97">
        <f t="shared" si="11"/>
        <v>360</v>
      </c>
      <c r="AJ16" s="101">
        <v>140.1</v>
      </c>
      <c r="AK16" s="117">
        <f t="shared" si="4"/>
        <v>60.1036</v>
      </c>
      <c r="AL16" s="98">
        <v>291</v>
      </c>
      <c r="AM16" s="80">
        <f t="shared" si="5"/>
        <v>1101.4349999999999</v>
      </c>
      <c r="AN16" s="33"/>
      <c r="AO16" s="97">
        <f t="shared" si="12"/>
        <v>360</v>
      </c>
      <c r="AP16" s="101">
        <v>134.9</v>
      </c>
      <c r="AQ16" s="117">
        <f t="shared" si="6"/>
        <v>57.212400000000009</v>
      </c>
      <c r="AR16" s="98">
        <v>299</v>
      </c>
      <c r="AS16" s="80">
        <f t="shared" si="7"/>
        <v>1131.7150000000001</v>
      </c>
      <c r="AU16" s="35"/>
      <c r="AV16" s="35"/>
      <c r="AW16" s="35"/>
    </row>
    <row r="17" spans="2:49" ht="15.75" thickBot="1" x14ac:dyDescent="0.3">
      <c r="L17" s="217"/>
      <c r="M17" s="217"/>
      <c r="N17" s="217"/>
      <c r="O17" s="217"/>
      <c r="P17" s="75"/>
      <c r="Q17" s="75"/>
      <c r="R17" s="75"/>
      <c r="S17" s="75"/>
      <c r="W17" s="97">
        <f t="shared" si="13"/>
        <v>390</v>
      </c>
      <c r="X17" s="101">
        <v>154.5</v>
      </c>
      <c r="Y17" s="117">
        <f t="shared" si="0"/>
        <v>68.11</v>
      </c>
      <c r="Z17" s="98">
        <v>288</v>
      </c>
      <c r="AA17" s="80">
        <f t="shared" si="1"/>
        <v>1090.08</v>
      </c>
      <c r="AB17" s="106"/>
      <c r="AC17" s="97">
        <f t="shared" si="10"/>
        <v>390</v>
      </c>
      <c r="AD17" s="101">
        <v>147.30000000000001</v>
      </c>
      <c r="AE17" s="117">
        <f t="shared" si="2"/>
        <v>64.106800000000007</v>
      </c>
      <c r="AF17" s="98">
        <v>289</v>
      </c>
      <c r="AG17" s="80">
        <f t="shared" si="3"/>
        <v>1093.865</v>
      </c>
      <c r="AH17" s="33"/>
      <c r="AI17" s="97">
        <f t="shared" si="11"/>
        <v>390</v>
      </c>
      <c r="AJ17" s="101">
        <v>140.30000000000001</v>
      </c>
      <c r="AK17" s="117">
        <f t="shared" si="4"/>
        <v>60.214800000000011</v>
      </c>
      <c r="AL17" s="98">
        <v>302</v>
      </c>
      <c r="AM17" s="80">
        <f t="shared" si="5"/>
        <v>1143.07</v>
      </c>
      <c r="AN17" s="33"/>
      <c r="AO17" s="97">
        <f t="shared" si="12"/>
        <v>390</v>
      </c>
      <c r="AP17" s="101">
        <v>134.80000000000001</v>
      </c>
      <c r="AQ17" s="117">
        <f t="shared" si="6"/>
        <v>57.156800000000011</v>
      </c>
      <c r="AR17" s="98">
        <v>300</v>
      </c>
      <c r="AS17" s="80">
        <f t="shared" si="7"/>
        <v>1135.5</v>
      </c>
      <c r="AU17" s="35"/>
      <c r="AV17" s="35"/>
      <c r="AW17" s="35"/>
    </row>
    <row r="18" spans="2:49" ht="15.75" thickBot="1" x14ac:dyDescent="0.3">
      <c r="B18" s="27" t="s">
        <v>18</v>
      </c>
      <c r="C18" s="28" t="s">
        <v>19</v>
      </c>
      <c r="D18" s="27" t="s">
        <v>20</v>
      </c>
      <c r="E18" s="28" t="s">
        <v>21</v>
      </c>
      <c r="F18" s="27" t="s">
        <v>22</v>
      </c>
      <c r="G18" s="28" t="s">
        <v>23</v>
      </c>
      <c r="H18" s="5" t="s">
        <v>24</v>
      </c>
      <c r="J18" s="7"/>
      <c r="K18" s="7"/>
      <c r="L18" s="218"/>
      <c r="M18" s="218"/>
      <c r="N18" s="218"/>
      <c r="O18" s="218"/>
      <c r="P18" s="7" t="s">
        <v>130</v>
      </c>
      <c r="Q18" s="7"/>
      <c r="R18" s="7"/>
      <c r="S18" s="7"/>
      <c r="T18" s="7"/>
      <c r="U18" s="7"/>
      <c r="W18" s="97">
        <f t="shared" si="13"/>
        <v>420</v>
      </c>
      <c r="X18" s="101">
        <v>154.6</v>
      </c>
      <c r="Y18" s="117">
        <f t="shared" si="0"/>
        <v>68.165599999999998</v>
      </c>
      <c r="Z18" s="98">
        <v>293</v>
      </c>
      <c r="AA18" s="80">
        <f t="shared" si="1"/>
        <v>1109.0050000000001</v>
      </c>
      <c r="AB18" s="106"/>
      <c r="AC18" s="97">
        <f t="shared" si="10"/>
        <v>420</v>
      </c>
      <c r="AD18" s="101">
        <v>147.4</v>
      </c>
      <c r="AE18" s="117">
        <f t="shared" si="2"/>
        <v>64.162400000000005</v>
      </c>
      <c r="AF18" s="98">
        <v>295</v>
      </c>
      <c r="AG18" s="80">
        <f t="shared" si="3"/>
        <v>1116.575</v>
      </c>
      <c r="AH18" s="33"/>
      <c r="AI18" s="97">
        <f t="shared" si="11"/>
        <v>420</v>
      </c>
      <c r="AJ18" s="101">
        <v>140.4</v>
      </c>
      <c r="AK18" s="117">
        <f t="shared" si="4"/>
        <v>60.270400000000009</v>
      </c>
      <c r="AL18" s="98">
        <v>296</v>
      </c>
      <c r="AM18" s="80">
        <f t="shared" si="5"/>
        <v>1120.3600000000001</v>
      </c>
      <c r="AN18" s="33"/>
      <c r="AO18" s="97">
        <f t="shared" si="12"/>
        <v>420</v>
      </c>
      <c r="AP18" s="101">
        <v>134.69999999999999</v>
      </c>
      <c r="AQ18" s="117">
        <f t="shared" si="6"/>
        <v>57.101199999999999</v>
      </c>
      <c r="AR18" s="98">
        <v>291</v>
      </c>
      <c r="AS18" s="80">
        <f t="shared" si="7"/>
        <v>1101.4349999999999</v>
      </c>
      <c r="AU18" s="35"/>
      <c r="AV18" s="35"/>
      <c r="AW18" s="35"/>
    </row>
    <row r="19" spans="2:49" x14ac:dyDescent="0.25">
      <c r="B19" s="20">
        <v>42118</v>
      </c>
      <c r="C19" s="30" t="s">
        <v>110</v>
      </c>
      <c r="D19" s="31">
        <v>12</v>
      </c>
      <c r="E19" s="30">
        <v>60</v>
      </c>
      <c r="F19" s="31">
        <v>1065</v>
      </c>
      <c r="G19" s="30">
        <v>1</v>
      </c>
      <c r="H19" s="21">
        <v>0</v>
      </c>
      <c r="J19" s="11">
        <v>28600</v>
      </c>
      <c r="K19" s="157">
        <f t="shared" ref="K19:K30" si="14">LOG10(J19)</f>
        <v>4.4563660331290427</v>
      </c>
      <c r="L19" s="214">
        <f>AVERAGE(K19:K24)</f>
        <v>4.4095165989872767</v>
      </c>
      <c r="M19" s="214">
        <f>_xlfn.STDEV.S(K19:K24)</f>
        <v>2.6796956681004323E-2</v>
      </c>
      <c r="N19" s="214">
        <f>L19-L25</f>
        <v>-3.3334588240085061E-2</v>
      </c>
      <c r="O19" s="214">
        <f>M19+M25</f>
        <v>9.3778832299909937E-2</v>
      </c>
      <c r="P19" s="143">
        <v>87000</v>
      </c>
      <c r="Q19" s="158">
        <f t="shared" ref="Q19:Q30" si="15">LOG10(P19)</f>
        <v>4.9395192526186182</v>
      </c>
      <c r="R19" s="159">
        <f>AVERAGE(Q19:Q24)</f>
        <v>4.9278646983575065</v>
      </c>
      <c r="S19" s="159">
        <f>_xlfn.STDEV.S(Q19:Q24)</f>
        <v>0.10639161784347076</v>
      </c>
      <c r="T19" s="159">
        <f>R19-R25</f>
        <v>0.78396962311940843</v>
      </c>
      <c r="U19" s="158">
        <f>S19+S25</f>
        <v>0.15472859971017988</v>
      </c>
      <c r="W19" s="97">
        <f t="shared" si="13"/>
        <v>450</v>
      </c>
      <c r="X19" s="101">
        <v>154.69999999999999</v>
      </c>
      <c r="Y19" s="117">
        <f t="shared" si="0"/>
        <v>68.221199999999996</v>
      </c>
      <c r="Z19" s="98">
        <v>291</v>
      </c>
      <c r="AA19" s="80">
        <f t="shared" si="1"/>
        <v>1101.4349999999999</v>
      </c>
      <c r="AB19" s="106"/>
      <c r="AC19" s="97">
        <f t="shared" si="10"/>
        <v>450</v>
      </c>
      <c r="AD19" s="101">
        <v>147.19999999999999</v>
      </c>
      <c r="AE19" s="117">
        <f t="shared" si="2"/>
        <v>64.051199999999994</v>
      </c>
      <c r="AF19" s="98">
        <v>298</v>
      </c>
      <c r="AG19" s="80">
        <f t="shared" si="3"/>
        <v>1127.93</v>
      </c>
      <c r="AH19" s="33"/>
      <c r="AI19" s="97">
        <f t="shared" si="11"/>
        <v>450</v>
      </c>
      <c r="AJ19" s="101">
        <v>140.4</v>
      </c>
      <c r="AK19" s="117">
        <f t="shared" si="4"/>
        <v>60.270400000000009</v>
      </c>
      <c r="AL19" s="98">
        <v>301</v>
      </c>
      <c r="AM19" s="80">
        <f t="shared" si="5"/>
        <v>1139.2850000000001</v>
      </c>
      <c r="AN19" s="33"/>
      <c r="AO19" s="97">
        <f t="shared" si="12"/>
        <v>450</v>
      </c>
      <c r="AP19" s="101">
        <v>134.6</v>
      </c>
      <c r="AQ19" s="117">
        <f t="shared" si="6"/>
        <v>57.0456</v>
      </c>
      <c r="AR19" s="98">
        <v>300</v>
      </c>
      <c r="AS19" s="80">
        <f t="shared" si="7"/>
        <v>1135.5</v>
      </c>
      <c r="AU19" s="33"/>
      <c r="AV19" s="33"/>
      <c r="AW19" s="33"/>
    </row>
    <row r="20" spans="2:49" x14ac:dyDescent="0.25">
      <c r="B20" s="22"/>
      <c r="C20" s="10" t="s">
        <v>111</v>
      </c>
      <c r="D20" s="9"/>
      <c r="E20" s="10"/>
      <c r="F20" s="9"/>
      <c r="G20" s="10"/>
      <c r="H20" s="21">
        <v>20</v>
      </c>
      <c r="J20" s="11">
        <v>25500</v>
      </c>
      <c r="K20" s="141">
        <f t="shared" si="14"/>
        <v>4.4065401804339555</v>
      </c>
      <c r="L20" s="215"/>
      <c r="M20" s="215"/>
      <c r="N20" s="215"/>
      <c r="O20" s="215"/>
      <c r="P20" s="144">
        <v>60000</v>
      </c>
      <c r="Q20" s="160">
        <f t="shared" si="15"/>
        <v>4.7781512503836439</v>
      </c>
      <c r="R20" s="37"/>
      <c r="S20" s="37"/>
      <c r="T20" s="37"/>
      <c r="U20" s="37"/>
      <c r="W20" s="97">
        <f t="shared" si="13"/>
        <v>480</v>
      </c>
      <c r="X20" s="101">
        <v>154.69999999999999</v>
      </c>
      <c r="Y20" s="117">
        <f t="shared" si="0"/>
        <v>68.221199999999996</v>
      </c>
      <c r="Z20" s="98">
        <v>289</v>
      </c>
      <c r="AA20" s="80">
        <f t="shared" si="1"/>
        <v>1093.865</v>
      </c>
      <c r="AB20" s="106"/>
      <c r="AC20" s="97">
        <f t="shared" si="10"/>
        <v>480</v>
      </c>
      <c r="AD20" s="101">
        <v>147.19999999999999</v>
      </c>
      <c r="AE20" s="117">
        <f t="shared" si="2"/>
        <v>64.051199999999994</v>
      </c>
      <c r="AF20" s="98">
        <v>289</v>
      </c>
      <c r="AG20" s="80">
        <f t="shared" si="3"/>
        <v>1093.865</v>
      </c>
      <c r="AH20" s="33"/>
      <c r="AI20" s="97">
        <f t="shared" si="11"/>
        <v>480</v>
      </c>
      <c r="AJ20" s="101">
        <v>140.4</v>
      </c>
      <c r="AK20" s="117">
        <f t="shared" si="4"/>
        <v>60.270400000000009</v>
      </c>
      <c r="AL20" s="98">
        <v>300</v>
      </c>
      <c r="AM20" s="80">
        <f t="shared" si="5"/>
        <v>1135.5</v>
      </c>
      <c r="AN20" s="33"/>
      <c r="AO20" s="97">
        <f t="shared" si="12"/>
        <v>480</v>
      </c>
      <c r="AP20" s="101">
        <v>134.69999999999999</v>
      </c>
      <c r="AQ20" s="117">
        <f t="shared" si="6"/>
        <v>57.101199999999999</v>
      </c>
      <c r="AR20" s="98">
        <v>305</v>
      </c>
      <c r="AS20" s="80">
        <f t="shared" si="7"/>
        <v>1154.425</v>
      </c>
    </row>
    <row r="21" spans="2:49" x14ac:dyDescent="0.25">
      <c r="B21" s="22"/>
      <c r="C21" s="10" t="s">
        <v>112</v>
      </c>
      <c r="D21" s="9"/>
      <c r="E21" s="10"/>
      <c r="F21" s="9"/>
      <c r="G21" s="10"/>
      <c r="H21" s="21">
        <v>40</v>
      </c>
      <c r="J21" s="11">
        <v>25800</v>
      </c>
      <c r="K21" s="141">
        <f t="shared" si="14"/>
        <v>4.4116197059632301</v>
      </c>
      <c r="L21" s="215"/>
      <c r="M21" s="215"/>
      <c r="N21" s="215"/>
      <c r="O21" s="215"/>
      <c r="P21" s="144">
        <v>120000</v>
      </c>
      <c r="Q21" s="160">
        <f t="shared" si="15"/>
        <v>5.0791812460476251</v>
      </c>
      <c r="R21" s="37"/>
      <c r="S21" s="37"/>
      <c r="T21" s="37"/>
      <c r="U21" s="37"/>
      <c r="W21" s="97">
        <f t="shared" si="13"/>
        <v>510</v>
      </c>
      <c r="X21" s="101">
        <v>154.5</v>
      </c>
      <c r="Y21" s="117">
        <f t="shared" si="0"/>
        <v>68.11</v>
      </c>
      <c r="Z21" s="98">
        <v>294</v>
      </c>
      <c r="AA21" s="80">
        <f t="shared" si="1"/>
        <v>1112.79</v>
      </c>
      <c r="AB21" s="33"/>
      <c r="AC21" s="97">
        <f t="shared" si="10"/>
        <v>510</v>
      </c>
      <c r="AD21" s="101">
        <v>147.19999999999999</v>
      </c>
      <c r="AE21" s="117">
        <f t="shared" si="2"/>
        <v>64.051199999999994</v>
      </c>
      <c r="AF21" s="98">
        <v>292</v>
      </c>
      <c r="AG21" s="80">
        <f t="shared" si="3"/>
        <v>1105.22</v>
      </c>
      <c r="AH21" s="33"/>
      <c r="AI21" s="97">
        <f t="shared" si="11"/>
        <v>510</v>
      </c>
      <c r="AJ21" s="101">
        <v>140.19999999999999</v>
      </c>
      <c r="AK21" s="117">
        <f t="shared" si="4"/>
        <v>60.159199999999998</v>
      </c>
      <c r="AL21" s="98">
        <v>293</v>
      </c>
      <c r="AM21" s="80">
        <f t="shared" si="5"/>
        <v>1109.0050000000001</v>
      </c>
      <c r="AN21" s="33"/>
      <c r="AO21" s="97">
        <f t="shared" si="12"/>
        <v>510</v>
      </c>
      <c r="AP21" s="101">
        <v>134.6</v>
      </c>
      <c r="AQ21" s="117">
        <f t="shared" si="6"/>
        <v>57.0456</v>
      </c>
      <c r="AR21" s="98">
        <v>290</v>
      </c>
      <c r="AS21" s="80">
        <f t="shared" si="7"/>
        <v>1097.6500000000001</v>
      </c>
    </row>
    <row r="22" spans="2:49" x14ac:dyDescent="0.25">
      <c r="B22" s="22"/>
      <c r="C22" s="10" t="s">
        <v>113</v>
      </c>
      <c r="D22" s="9"/>
      <c r="E22" s="10"/>
      <c r="F22" s="9"/>
      <c r="G22" s="10"/>
      <c r="H22" s="21">
        <v>60</v>
      </c>
      <c r="J22" s="11">
        <v>24700</v>
      </c>
      <c r="K22" s="141">
        <f t="shared" si="14"/>
        <v>4.3926969532596658</v>
      </c>
      <c r="L22" s="215"/>
      <c r="M22" s="215"/>
      <c r="N22" s="215"/>
      <c r="O22" s="215"/>
      <c r="P22" s="144">
        <v>71000</v>
      </c>
      <c r="Q22" s="160">
        <f t="shared" si="15"/>
        <v>4.8512583487190755</v>
      </c>
      <c r="R22" s="37"/>
      <c r="S22" s="37"/>
      <c r="T22" s="37"/>
      <c r="U22" s="37"/>
      <c r="W22" s="97">
        <f t="shared" si="13"/>
        <v>540</v>
      </c>
      <c r="X22" s="101">
        <v>154.4</v>
      </c>
      <c r="Y22" s="117">
        <f t="shared" si="0"/>
        <v>68.054400000000015</v>
      </c>
      <c r="Z22" s="98">
        <v>286</v>
      </c>
      <c r="AA22" s="80">
        <f t="shared" si="1"/>
        <v>1082.51</v>
      </c>
      <c r="AB22" s="33"/>
      <c r="AC22" s="97">
        <f t="shared" si="10"/>
        <v>540</v>
      </c>
      <c r="AD22" s="101">
        <v>147</v>
      </c>
      <c r="AE22" s="117">
        <f t="shared" si="2"/>
        <v>63.940000000000005</v>
      </c>
      <c r="AF22" s="98">
        <v>296</v>
      </c>
      <c r="AG22" s="80">
        <f t="shared" si="3"/>
        <v>1120.3600000000001</v>
      </c>
      <c r="AH22" s="33"/>
      <c r="AI22" s="97">
        <f t="shared" si="11"/>
        <v>540</v>
      </c>
      <c r="AJ22" s="101">
        <v>140.1</v>
      </c>
      <c r="AK22" s="117">
        <f t="shared" si="4"/>
        <v>60.1036</v>
      </c>
      <c r="AL22" s="98">
        <v>287</v>
      </c>
      <c r="AM22" s="80">
        <f t="shared" si="5"/>
        <v>1086.2950000000001</v>
      </c>
      <c r="AN22" s="33"/>
      <c r="AO22" s="97">
        <f t="shared" si="12"/>
        <v>540</v>
      </c>
      <c r="AP22" s="101">
        <v>134.6</v>
      </c>
      <c r="AQ22" s="117">
        <f t="shared" si="6"/>
        <v>57.0456</v>
      </c>
      <c r="AR22" s="98">
        <v>299</v>
      </c>
      <c r="AS22" s="80">
        <f t="shared" si="7"/>
        <v>1131.7150000000001</v>
      </c>
    </row>
    <row r="23" spans="2:49" x14ac:dyDescent="0.25">
      <c r="B23" s="22"/>
      <c r="C23" s="10" t="s">
        <v>114</v>
      </c>
      <c r="D23" s="9"/>
      <c r="E23" s="10"/>
      <c r="F23" s="9"/>
      <c r="G23" s="10"/>
      <c r="H23" s="21">
        <v>80</v>
      </c>
      <c r="J23" s="11">
        <v>25900</v>
      </c>
      <c r="K23" s="141">
        <f t="shared" si="14"/>
        <v>4.4132997640812519</v>
      </c>
      <c r="L23" s="215"/>
      <c r="M23" s="215"/>
      <c r="N23" s="215"/>
      <c r="O23" s="215"/>
      <c r="P23" s="144">
        <v>83000</v>
      </c>
      <c r="Q23" s="160">
        <f t="shared" si="15"/>
        <v>4.9190780923760737</v>
      </c>
      <c r="R23" s="37"/>
      <c r="S23" s="37"/>
      <c r="T23" s="37"/>
      <c r="U23" s="37"/>
      <c r="W23" s="97">
        <f t="shared" si="13"/>
        <v>570</v>
      </c>
      <c r="X23" s="101">
        <v>154.4</v>
      </c>
      <c r="Y23" s="117">
        <f t="shared" si="0"/>
        <v>68.054400000000015</v>
      </c>
      <c r="Z23" s="98">
        <v>289</v>
      </c>
      <c r="AA23" s="80">
        <f t="shared" si="1"/>
        <v>1093.865</v>
      </c>
      <c r="AB23" s="106"/>
      <c r="AC23" s="97">
        <f t="shared" si="10"/>
        <v>570</v>
      </c>
      <c r="AD23" s="101">
        <v>147</v>
      </c>
      <c r="AE23" s="117">
        <f t="shared" si="2"/>
        <v>63.940000000000005</v>
      </c>
      <c r="AF23" s="98">
        <v>298</v>
      </c>
      <c r="AG23" s="80">
        <f t="shared" si="3"/>
        <v>1127.93</v>
      </c>
      <c r="AH23" s="33"/>
      <c r="AI23" s="97">
        <f t="shared" si="11"/>
        <v>570</v>
      </c>
      <c r="AJ23" s="101">
        <v>140</v>
      </c>
      <c r="AK23" s="117">
        <f t="shared" si="4"/>
        <v>60.048000000000002</v>
      </c>
      <c r="AL23" s="98">
        <v>293</v>
      </c>
      <c r="AM23" s="80">
        <f t="shared" si="5"/>
        <v>1109.0050000000001</v>
      </c>
      <c r="AN23" s="33"/>
      <c r="AO23" s="97">
        <f t="shared" si="12"/>
        <v>570</v>
      </c>
      <c r="AP23" s="101">
        <v>134.69999999999999</v>
      </c>
      <c r="AQ23" s="117">
        <f t="shared" si="6"/>
        <v>57.101199999999999</v>
      </c>
      <c r="AR23" s="98">
        <v>289</v>
      </c>
      <c r="AS23" s="80">
        <f t="shared" si="7"/>
        <v>1093.865</v>
      </c>
    </row>
    <row r="24" spans="2:49" ht="15.75" thickBot="1" x14ac:dyDescent="0.3">
      <c r="B24" s="23"/>
      <c r="C24" s="13" t="s">
        <v>115</v>
      </c>
      <c r="D24" s="14"/>
      <c r="E24" s="13"/>
      <c r="F24" s="14"/>
      <c r="G24" s="13"/>
      <c r="H24" s="24">
        <v>100</v>
      </c>
      <c r="J24" s="15">
        <v>23800</v>
      </c>
      <c r="K24" s="142">
        <f t="shared" si="14"/>
        <v>4.3765769570565123</v>
      </c>
      <c r="L24" s="216"/>
      <c r="M24" s="216"/>
      <c r="N24" s="216"/>
      <c r="O24" s="216"/>
      <c r="P24" s="145">
        <v>100000</v>
      </c>
      <c r="Q24" s="161">
        <f t="shared" si="15"/>
        <v>5</v>
      </c>
      <c r="R24" s="38"/>
      <c r="S24" s="38"/>
      <c r="T24" s="38"/>
      <c r="U24" s="38"/>
      <c r="W24" s="97">
        <f t="shared" si="13"/>
        <v>600</v>
      </c>
      <c r="X24" s="101">
        <v>154.5</v>
      </c>
      <c r="Y24" s="117">
        <f t="shared" si="0"/>
        <v>68.11</v>
      </c>
      <c r="Z24" s="98">
        <v>293</v>
      </c>
      <c r="AA24" s="80">
        <f t="shared" si="1"/>
        <v>1109.0050000000001</v>
      </c>
      <c r="AB24" s="33"/>
      <c r="AC24" s="97">
        <f t="shared" si="10"/>
        <v>600</v>
      </c>
      <c r="AD24" s="101">
        <v>147</v>
      </c>
      <c r="AE24" s="117">
        <f t="shared" si="2"/>
        <v>63.940000000000005</v>
      </c>
      <c r="AF24" s="98">
        <v>293</v>
      </c>
      <c r="AG24" s="80">
        <f t="shared" si="3"/>
        <v>1109.0050000000001</v>
      </c>
      <c r="AH24" s="33"/>
      <c r="AI24" s="97">
        <f t="shared" si="11"/>
        <v>600</v>
      </c>
      <c r="AJ24" s="101">
        <v>140.1</v>
      </c>
      <c r="AK24" s="117">
        <f t="shared" si="4"/>
        <v>60.1036</v>
      </c>
      <c r="AL24" s="98">
        <v>291</v>
      </c>
      <c r="AM24" s="80">
        <f t="shared" si="5"/>
        <v>1101.4349999999999</v>
      </c>
      <c r="AN24" s="33"/>
      <c r="AO24" s="97">
        <f t="shared" si="12"/>
        <v>600</v>
      </c>
      <c r="AP24" s="101">
        <v>134.69999999999999</v>
      </c>
      <c r="AQ24" s="117">
        <f t="shared" si="6"/>
        <v>57.101199999999999</v>
      </c>
      <c r="AR24" s="98">
        <v>286</v>
      </c>
      <c r="AS24" s="80">
        <f t="shared" si="7"/>
        <v>1082.51</v>
      </c>
    </row>
    <row r="25" spans="2:49" x14ac:dyDescent="0.25">
      <c r="B25" s="20">
        <v>42118</v>
      </c>
      <c r="C25" s="30" t="s">
        <v>116</v>
      </c>
      <c r="D25" s="31">
        <v>12</v>
      </c>
      <c r="E25" s="30">
        <v>60</v>
      </c>
      <c r="F25" s="31">
        <v>1065</v>
      </c>
      <c r="G25" s="30">
        <v>6</v>
      </c>
      <c r="H25" s="21">
        <v>0</v>
      </c>
      <c r="J25" s="11">
        <v>35000</v>
      </c>
      <c r="K25" s="157">
        <f t="shared" si="14"/>
        <v>4.5440680443502757</v>
      </c>
      <c r="L25" s="214">
        <f>AVERAGE(K25:K30)</f>
        <v>4.4428511872273617</v>
      </c>
      <c r="M25" s="214">
        <f>_xlfn.STDEV.S(K25:K30)</f>
        <v>6.6981875618905617E-2</v>
      </c>
      <c r="N25" s="214"/>
      <c r="O25" s="214"/>
      <c r="P25" s="143">
        <v>13000</v>
      </c>
      <c r="Q25" s="158">
        <f t="shared" si="15"/>
        <v>4.1139433523068369</v>
      </c>
      <c r="R25" s="159">
        <f>AVERAGE(Q25:Q30)</f>
        <v>4.1438950752380981</v>
      </c>
      <c r="S25" s="159">
        <f>_xlfn.STDEV.S(Q25:Q30)</f>
        <v>4.8336981866709108E-2</v>
      </c>
      <c r="T25" s="159"/>
      <c r="U25" s="158"/>
      <c r="W25" s="97">
        <f t="shared" si="13"/>
        <v>630</v>
      </c>
      <c r="X25" s="101">
        <v>154.4</v>
      </c>
      <c r="Y25" s="117">
        <f t="shared" si="0"/>
        <v>68.054400000000015</v>
      </c>
      <c r="Z25" s="98">
        <v>295</v>
      </c>
      <c r="AA25" s="80">
        <f t="shared" si="1"/>
        <v>1116.575</v>
      </c>
      <c r="AB25" s="33"/>
      <c r="AC25" s="97">
        <f t="shared" si="10"/>
        <v>630</v>
      </c>
      <c r="AD25" s="101">
        <v>147.1</v>
      </c>
      <c r="AE25" s="117">
        <f t="shared" si="2"/>
        <v>63.995600000000003</v>
      </c>
      <c r="AF25" s="98">
        <v>283</v>
      </c>
      <c r="AG25" s="80">
        <f t="shared" si="3"/>
        <v>1071.155</v>
      </c>
      <c r="AH25" s="33"/>
      <c r="AI25" s="97">
        <f t="shared" si="11"/>
        <v>630</v>
      </c>
      <c r="AJ25" s="101">
        <v>140.1</v>
      </c>
      <c r="AK25" s="117">
        <f t="shared" si="4"/>
        <v>60.1036</v>
      </c>
      <c r="AL25" s="98">
        <v>296</v>
      </c>
      <c r="AM25" s="80">
        <f t="shared" si="5"/>
        <v>1120.3600000000001</v>
      </c>
      <c r="AN25" s="33"/>
      <c r="AO25" s="97">
        <f t="shared" si="12"/>
        <v>630</v>
      </c>
      <c r="AP25" s="101">
        <v>134.6</v>
      </c>
      <c r="AQ25" s="117">
        <f t="shared" si="6"/>
        <v>57.0456</v>
      </c>
      <c r="AR25" s="98">
        <v>290</v>
      </c>
      <c r="AS25" s="80">
        <f t="shared" si="7"/>
        <v>1097.6500000000001</v>
      </c>
    </row>
    <row r="26" spans="2:49" x14ac:dyDescent="0.25">
      <c r="B26" s="22"/>
      <c r="C26" s="10" t="s">
        <v>117</v>
      </c>
      <c r="D26" s="9"/>
      <c r="E26" s="10"/>
      <c r="F26" s="9"/>
      <c r="G26" s="10"/>
      <c r="H26" s="21">
        <v>20</v>
      </c>
      <c r="J26" s="11">
        <v>26000</v>
      </c>
      <c r="K26" s="141">
        <f t="shared" si="14"/>
        <v>4.4149733479708182</v>
      </c>
      <c r="L26" s="215"/>
      <c r="M26" s="215"/>
      <c r="N26" s="215"/>
      <c r="O26" s="215"/>
      <c r="P26" s="144">
        <v>15000</v>
      </c>
      <c r="Q26" s="160">
        <f t="shared" si="15"/>
        <v>4.1760912590556813</v>
      </c>
      <c r="R26" s="37"/>
      <c r="S26" s="37"/>
      <c r="T26" s="37"/>
      <c r="U26" s="37"/>
      <c r="W26" s="97">
        <f t="shared" si="13"/>
        <v>660</v>
      </c>
      <c r="X26" s="101">
        <v>154.6</v>
      </c>
      <c r="Y26" s="117">
        <f t="shared" si="0"/>
        <v>68.165599999999998</v>
      </c>
      <c r="Z26" s="98">
        <v>295</v>
      </c>
      <c r="AA26" s="80">
        <f t="shared" si="1"/>
        <v>1116.575</v>
      </c>
      <c r="AB26" s="33"/>
      <c r="AC26" s="97">
        <f t="shared" si="10"/>
        <v>660</v>
      </c>
      <c r="AD26" s="101">
        <v>147.1</v>
      </c>
      <c r="AE26" s="117">
        <f t="shared" si="2"/>
        <v>63.995600000000003</v>
      </c>
      <c r="AF26" s="98">
        <v>297</v>
      </c>
      <c r="AG26" s="80">
        <f t="shared" si="3"/>
        <v>1124.145</v>
      </c>
      <c r="AH26" s="33"/>
      <c r="AI26" s="97">
        <f t="shared" si="11"/>
        <v>660</v>
      </c>
      <c r="AJ26" s="101">
        <v>140</v>
      </c>
      <c r="AK26" s="117">
        <f t="shared" si="4"/>
        <v>60.048000000000002</v>
      </c>
      <c r="AL26" s="98">
        <v>301</v>
      </c>
      <c r="AM26" s="80">
        <f t="shared" si="5"/>
        <v>1139.2850000000001</v>
      </c>
      <c r="AN26" s="33"/>
      <c r="AO26" s="97">
        <f t="shared" si="12"/>
        <v>660</v>
      </c>
      <c r="AP26" s="101">
        <v>134.6</v>
      </c>
      <c r="AQ26" s="117">
        <f t="shared" si="6"/>
        <v>57.0456</v>
      </c>
      <c r="AR26" s="98">
        <v>290</v>
      </c>
      <c r="AS26" s="80">
        <f t="shared" si="7"/>
        <v>1097.6500000000001</v>
      </c>
    </row>
    <row r="27" spans="2:49" x14ac:dyDescent="0.25">
      <c r="B27" s="22"/>
      <c r="C27" s="10" t="s">
        <v>118</v>
      </c>
      <c r="D27" s="9"/>
      <c r="E27" s="10"/>
      <c r="F27" s="9"/>
      <c r="G27" s="10"/>
      <c r="H27" s="21">
        <v>40</v>
      </c>
      <c r="J27" s="11">
        <v>22000</v>
      </c>
      <c r="K27" s="141">
        <f t="shared" si="14"/>
        <v>4.3424226808222066</v>
      </c>
      <c r="L27" s="215"/>
      <c r="M27" s="215"/>
      <c r="N27" s="215"/>
      <c r="O27" s="215"/>
      <c r="P27" s="144">
        <v>16000</v>
      </c>
      <c r="Q27" s="160">
        <f t="shared" si="15"/>
        <v>4.204119982655925</v>
      </c>
      <c r="R27" s="37"/>
      <c r="S27" s="37"/>
      <c r="T27" s="37"/>
      <c r="U27" s="37"/>
      <c r="W27" s="97">
        <f t="shared" si="13"/>
        <v>690</v>
      </c>
      <c r="X27" s="101">
        <v>154.6</v>
      </c>
      <c r="Y27" s="117">
        <f t="shared" si="0"/>
        <v>68.165599999999998</v>
      </c>
      <c r="Z27" s="98">
        <v>294</v>
      </c>
      <c r="AA27" s="80">
        <f t="shared" si="1"/>
        <v>1112.79</v>
      </c>
      <c r="AB27" s="33"/>
      <c r="AC27" s="97">
        <f t="shared" si="10"/>
        <v>690</v>
      </c>
      <c r="AD27" s="101">
        <v>147.19999999999999</v>
      </c>
      <c r="AE27" s="117">
        <f t="shared" si="2"/>
        <v>64.051199999999994</v>
      </c>
      <c r="AF27" s="98">
        <v>293</v>
      </c>
      <c r="AG27" s="80">
        <f t="shared" si="3"/>
        <v>1109.0050000000001</v>
      </c>
      <c r="AH27" s="33"/>
      <c r="AI27" s="97">
        <f t="shared" si="11"/>
        <v>690</v>
      </c>
      <c r="AJ27" s="101">
        <v>139.80000000000001</v>
      </c>
      <c r="AK27" s="117">
        <f t="shared" si="4"/>
        <v>59.936800000000012</v>
      </c>
      <c r="AL27" s="98">
        <v>300</v>
      </c>
      <c r="AM27" s="80">
        <f t="shared" si="5"/>
        <v>1135.5</v>
      </c>
      <c r="AN27" s="33"/>
      <c r="AO27" s="97">
        <f t="shared" si="12"/>
        <v>690</v>
      </c>
      <c r="AP27" s="101">
        <v>134.6</v>
      </c>
      <c r="AQ27" s="117">
        <f t="shared" si="6"/>
        <v>57.0456</v>
      </c>
      <c r="AR27" s="98">
        <v>297</v>
      </c>
      <c r="AS27" s="80">
        <f t="shared" si="7"/>
        <v>1124.145</v>
      </c>
    </row>
    <row r="28" spans="2:49" x14ac:dyDescent="0.25">
      <c r="B28" s="22"/>
      <c r="C28" s="10" t="s">
        <v>119</v>
      </c>
      <c r="D28" s="9"/>
      <c r="E28" s="10"/>
      <c r="F28" s="9"/>
      <c r="G28" s="10"/>
      <c r="H28" s="21">
        <v>60</v>
      </c>
      <c r="J28" s="11">
        <v>27000</v>
      </c>
      <c r="K28" s="141">
        <f t="shared" si="14"/>
        <v>4.4313637641589869</v>
      </c>
      <c r="L28" s="215"/>
      <c r="M28" s="215"/>
      <c r="N28" s="215"/>
      <c r="O28" s="215"/>
      <c r="P28" s="144">
        <v>13000</v>
      </c>
      <c r="Q28" s="160">
        <f t="shared" si="15"/>
        <v>4.1139433523068369</v>
      </c>
      <c r="R28" s="37"/>
      <c r="S28" s="37"/>
      <c r="T28" s="37"/>
      <c r="U28" s="37"/>
      <c r="W28" s="97">
        <f t="shared" si="13"/>
        <v>720</v>
      </c>
      <c r="X28" s="101">
        <v>154.4</v>
      </c>
      <c r="Y28" s="117">
        <f t="shared" si="0"/>
        <v>68.054400000000015</v>
      </c>
      <c r="Z28" s="98">
        <v>288</v>
      </c>
      <c r="AA28" s="80">
        <f t="shared" si="1"/>
        <v>1090.08</v>
      </c>
      <c r="AB28" s="33"/>
      <c r="AC28" s="97">
        <f t="shared" si="10"/>
        <v>720</v>
      </c>
      <c r="AD28" s="101">
        <v>147.30000000000001</v>
      </c>
      <c r="AE28" s="117">
        <f t="shared" si="2"/>
        <v>64.106800000000007</v>
      </c>
      <c r="AF28" s="98">
        <v>291</v>
      </c>
      <c r="AG28" s="80">
        <f t="shared" si="3"/>
        <v>1101.4349999999999</v>
      </c>
      <c r="AH28" s="33"/>
      <c r="AI28" s="97">
        <f t="shared" si="11"/>
        <v>720</v>
      </c>
      <c r="AJ28" s="101">
        <v>139.69999999999999</v>
      </c>
      <c r="AK28" s="117">
        <f t="shared" si="4"/>
        <v>59.8812</v>
      </c>
      <c r="AL28" s="98">
        <v>296</v>
      </c>
      <c r="AM28" s="80">
        <f t="shared" si="5"/>
        <v>1120.3600000000001</v>
      </c>
      <c r="AN28" s="33"/>
      <c r="AO28" s="97">
        <f t="shared" si="12"/>
        <v>720</v>
      </c>
      <c r="AP28" s="101">
        <v>134.4</v>
      </c>
      <c r="AQ28" s="117">
        <f t="shared" si="6"/>
        <v>56.934400000000011</v>
      </c>
      <c r="AR28" s="98">
        <v>298</v>
      </c>
      <c r="AS28" s="80">
        <f t="shared" si="7"/>
        <v>1127.93</v>
      </c>
    </row>
    <row r="29" spans="2:49" x14ac:dyDescent="0.25">
      <c r="B29" s="22"/>
      <c r="C29" s="10" t="s">
        <v>120</v>
      </c>
      <c r="D29" s="9"/>
      <c r="E29" s="10"/>
      <c r="F29" s="9"/>
      <c r="G29" s="10"/>
      <c r="H29" s="21">
        <v>80</v>
      </c>
      <c r="J29" s="11">
        <v>28000</v>
      </c>
      <c r="K29" s="141">
        <f t="shared" si="14"/>
        <v>4.4471580313422194</v>
      </c>
      <c r="L29" s="215"/>
      <c r="M29" s="215"/>
      <c r="N29" s="215"/>
      <c r="O29" s="215"/>
      <c r="P29" s="144">
        <v>15000</v>
      </c>
      <c r="Q29" s="160">
        <f t="shared" si="15"/>
        <v>4.1760912590556813</v>
      </c>
      <c r="R29" s="37"/>
      <c r="S29" s="37"/>
      <c r="T29" s="37"/>
      <c r="U29" s="37"/>
      <c r="W29" s="97">
        <f t="shared" si="13"/>
        <v>750</v>
      </c>
      <c r="X29" s="101">
        <v>154.30000000000001</v>
      </c>
      <c r="Y29" s="117">
        <f t="shared" si="0"/>
        <v>67.998800000000017</v>
      </c>
      <c r="Z29" s="98">
        <v>296</v>
      </c>
      <c r="AA29" s="80">
        <f t="shared" si="1"/>
        <v>1120.3600000000001</v>
      </c>
      <c r="AB29" s="33"/>
      <c r="AC29" s="97">
        <f t="shared" si="10"/>
        <v>750</v>
      </c>
      <c r="AD29" s="101">
        <v>147.19999999999999</v>
      </c>
      <c r="AE29" s="117">
        <f t="shared" si="2"/>
        <v>64.051199999999994</v>
      </c>
      <c r="AF29" s="98">
        <v>292</v>
      </c>
      <c r="AG29" s="80">
        <f t="shared" si="3"/>
        <v>1105.22</v>
      </c>
      <c r="AH29" s="33"/>
      <c r="AI29" s="97">
        <f t="shared" si="11"/>
        <v>750</v>
      </c>
      <c r="AJ29" s="101">
        <v>139.69999999999999</v>
      </c>
      <c r="AK29" s="117">
        <f t="shared" si="4"/>
        <v>59.8812</v>
      </c>
      <c r="AL29" s="98">
        <v>286</v>
      </c>
      <c r="AM29" s="80">
        <f t="shared" si="5"/>
        <v>1082.51</v>
      </c>
      <c r="AN29" s="33"/>
      <c r="AO29" s="97">
        <f t="shared" si="12"/>
        <v>750</v>
      </c>
      <c r="AP29" s="101">
        <v>134.4</v>
      </c>
      <c r="AQ29" s="117">
        <f t="shared" si="6"/>
        <v>56.934400000000011</v>
      </c>
      <c r="AR29" s="98">
        <v>303</v>
      </c>
      <c r="AS29" s="80">
        <f t="shared" si="7"/>
        <v>1146.855</v>
      </c>
    </row>
    <row r="30" spans="2:49" ht="15.75" thickBot="1" x14ac:dyDescent="0.3">
      <c r="B30" s="23"/>
      <c r="C30" s="13" t="s">
        <v>121</v>
      </c>
      <c r="D30" s="14"/>
      <c r="E30" s="13"/>
      <c r="F30" s="14"/>
      <c r="G30" s="13"/>
      <c r="H30" s="24">
        <v>100</v>
      </c>
      <c r="J30" s="15">
        <v>30000</v>
      </c>
      <c r="K30" s="142">
        <f t="shared" si="14"/>
        <v>4.4771212547196626</v>
      </c>
      <c r="L30" s="216"/>
      <c r="M30" s="216"/>
      <c r="N30" s="216"/>
      <c r="O30" s="216"/>
      <c r="P30" s="145">
        <v>12000</v>
      </c>
      <c r="Q30" s="161">
        <f t="shared" si="15"/>
        <v>4.0791812460476251</v>
      </c>
      <c r="R30" s="38"/>
      <c r="S30" s="38"/>
      <c r="T30" s="38"/>
      <c r="U30" s="38"/>
      <c r="W30" s="97">
        <f t="shared" si="13"/>
        <v>780</v>
      </c>
      <c r="X30" s="101">
        <v>154.30000000000001</v>
      </c>
      <c r="Y30" s="117">
        <f t="shared" si="0"/>
        <v>67.998800000000017</v>
      </c>
      <c r="Z30" s="98">
        <v>292</v>
      </c>
      <c r="AA30" s="80">
        <f t="shared" si="1"/>
        <v>1105.22</v>
      </c>
      <c r="AB30" s="33"/>
      <c r="AC30" s="97">
        <f t="shared" si="10"/>
        <v>780</v>
      </c>
      <c r="AD30" s="101">
        <v>147.30000000000001</v>
      </c>
      <c r="AE30" s="117">
        <f t="shared" si="2"/>
        <v>64.106800000000007</v>
      </c>
      <c r="AF30" s="98">
        <v>290</v>
      </c>
      <c r="AG30" s="80">
        <f t="shared" si="3"/>
        <v>1097.6500000000001</v>
      </c>
      <c r="AH30" s="33"/>
      <c r="AI30" s="97">
        <f t="shared" si="11"/>
        <v>780</v>
      </c>
      <c r="AJ30" s="101">
        <v>139.69999999999999</v>
      </c>
      <c r="AK30" s="117">
        <f t="shared" si="4"/>
        <v>59.8812</v>
      </c>
      <c r="AL30" s="98">
        <v>301</v>
      </c>
      <c r="AM30" s="80">
        <f t="shared" si="5"/>
        <v>1139.2850000000001</v>
      </c>
      <c r="AN30" s="33"/>
      <c r="AO30" s="97">
        <f t="shared" si="12"/>
        <v>780</v>
      </c>
      <c r="AP30" s="101">
        <v>134.5</v>
      </c>
      <c r="AQ30" s="117">
        <f t="shared" si="6"/>
        <v>56.99</v>
      </c>
      <c r="AR30" s="98">
        <v>301</v>
      </c>
      <c r="AS30" s="80">
        <f t="shared" si="7"/>
        <v>1139.2850000000001</v>
      </c>
    </row>
    <row r="31" spans="2:49" ht="15.75" thickBot="1" x14ac:dyDescent="0.3">
      <c r="L31" s="217"/>
      <c r="M31" s="217"/>
      <c r="N31" s="217"/>
      <c r="O31" s="217"/>
      <c r="P31" s="75"/>
      <c r="Q31" s="75"/>
      <c r="R31" s="75"/>
      <c r="S31" s="75"/>
      <c r="W31" s="97">
        <f t="shared" si="13"/>
        <v>810</v>
      </c>
      <c r="X31" s="101">
        <v>154.30000000000001</v>
      </c>
      <c r="Y31" s="117">
        <f t="shared" si="0"/>
        <v>67.998800000000017</v>
      </c>
      <c r="Z31" s="98">
        <v>300</v>
      </c>
      <c r="AA31" s="80">
        <f t="shared" si="1"/>
        <v>1135.5</v>
      </c>
      <c r="AB31" s="33"/>
      <c r="AC31" s="97">
        <f t="shared" si="10"/>
        <v>810</v>
      </c>
      <c r="AD31" s="101">
        <v>147.5</v>
      </c>
      <c r="AE31" s="117">
        <f t="shared" si="2"/>
        <v>64.218000000000004</v>
      </c>
      <c r="AF31" s="98">
        <v>295</v>
      </c>
      <c r="AG31" s="80">
        <f t="shared" si="3"/>
        <v>1116.575</v>
      </c>
      <c r="AH31" s="33"/>
      <c r="AI31" s="97">
        <f t="shared" si="11"/>
        <v>810</v>
      </c>
      <c r="AJ31" s="101">
        <v>139.80000000000001</v>
      </c>
      <c r="AK31" s="117">
        <f t="shared" si="4"/>
        <v>59.936800000000012</v>
      </c>
      <c r="AL31" s="98">
        <v>305</v>
      </c>
      <c r="AM31" s="80">
        <f t="shared" si="5"/>
        <v>1154.425</v>
      </c>
      <c r="AN31" s="33"/>
      <c r="AO31" s="97">
        <f t="shared" si="12"/>
        <v>810</v>
      </c>
      <c r="AP31" s="101">
        <v>134.6</v>
      </c>
      <c r="AQ31" s="117">
        <f t="shared" si="6"/>
        <v>57.0456</v>
      </c>
      <c r="AR31" s="98">
        <v>293</v>
      </c>
      <c r="AS31" s="80">
        <f t="shared" si="7"/>
        <v>1109.0050000000001</v>
      </c>
    </row>
    <row r="32" spans="2:49" ht="15.75" thickBot="1" x14ac:dyDescent="0.3">
      <c r="B32" s="27" t="s">
        <v>18</v>
      </c>
      <c r="C32" s="28" t="s">
        <v>19</v>
      </c>
      <c r="D32" s="27" t="s">
        <v>20</v>
      </c>
      <c r="E32" s="28" t="s">
        <v>21</v>
      </c>
      <c r="F32" s="27" t="s">
        <v>22</v>
      </c>
      <c r="G32" s="28" t="s">
        <v>23</v>
      </c>
      <c r="H32" s="5" t="s">
        <v>24</v>
      </c>
      <c r="J32" s="7"/>
      <c r="K32" s="7"/>
      <c r="L32" s="218"/>
      <c r="M32" s="218"/>
      <c r="N32" s="218"/>
      <c r="O32" s="218"/>
      <c r="P32" s="7" t="s">
        <v>130</v>
      </c>
      <c r="Q32" s="7"/>
      <c r="R32" s="7"/>
      <c r="S32" s="7"/>
      <c r="T32" s="7"/>
      <c r="U32" s="7"/>
      <c r="W32" s="97">
        <f t="shared" si="13"/>
        <v>840</v>
      </c>
      <c r="X32" s="101">
        <v>154.19999999999999</v>
      </c>
      <c r="Y32" s="117">
        <f t="shared" si="0"/>
        <v>67.943200000000004</v>
      </c>
      <c r="Z32" s="98">
        <v>296</v>
      </c>
      <c r="AA32" s="80">
        <f t="shared" si="1"/>
        <v>1120.3600000000001</v>
      </c>
      <c r="AB32" s="33"/>
      <c r="AC32" s="97">
        <f t="shared" si="10"/>
        <v>840</v>
      </c>
      <c r="AD32" s="101">
        <v>147.5</v>
      </c>
      <c r="AE32" s="117">
        <f t="shared" si="2"/>
        <v>64.218000000000004</v>
      </c>
      <c r="AF32" s="98">
        <v>289</v>
      </c>
      <c r="AG32" s="80">
        <f t="shared" si="3"/>
        <v>1093.865</v>
      </c>
      <c r="AH32" s="33"/>
      <c r="AI32" s="97">
        <f t="shared" si="11"/>
        <v>840</v>
      </c>
      <c r="AJ32" s="101">
        <v>140</v>
      </c>
      <c r="AK32" s="117">
        <f t="shared" si="4"/>
        <v>60.048000000000002</v>
      </c>
      <c r="AL32" s="98">
        <v>296</v>
      </c>
      <c r="AM32" s="80">
        <f t="shared" si="5"/>
        <v>1120.3600000000001</v>
      </c>
      <c r="AN32" s="33"/>
      <c r="AO32" s="97">
        <f t="shared" si="12"/>
        <v>840</v>
      </c>
      <c r="AP32" s="101">
        <v>134.69999999999999</v>
      </c>
      <c r="AQ32" s="117">
        <f t="shared" si="6"/>
        <v>57.101199999999999</v>
      </c>
      <c r="AR32" s="98">
        <v>289</v>
      </c>
      <c r="AS32" s="80">
        <f t="shared" si="7"/>
        <v>1093.865</v>
      </c>
    </row>
    <row r="33" spans="2:48" x14ac:dyDescent="0.25">
      <c r="B33" s="20">
        <v>42118</v>
      </c>
      <c r="C33" s="30" t="s">
        <v>122</v>
      </c>
      <c r="D33" s="31">
        <v>13</v>
      </c>
      <c r="E33" s="30">
        <v>64</v>
      </c>
      <c r="F33" s="31">
        <v>1065</v>
      </c>
      <c r="G33" s="30">
        <v>1</v>
      </c>
      <c r="H33" s="21">
        <v>0</v>
      </c>
      <c r="J33" s="11">
        <v>12400</v>
      </c>
      <c r="K33" s="157">
        <f t="shared" ref="K33:K44" si="16">LOG10(J33)</f>
        <v>4.0934216851622347</v>
      </c>
      <c r="L33" s="214">
        <f>AVERAGE(K33:K38)</f>
        <v>4.1609970551560762</v>
      </c>
      <c r="M33" s="214">
        <f>_xlfn.STDEV.S(K33:K38)</f>
        <v>4.4262001972955031E-2</v>
      </c>
      <c r="N33" s="214">
        <f>L33-L39</f>
        <v>-1.6354949296537136E-2</v>
      </c>
      <c r="O33" s="214">
        <f>M33+M39</f>
        <v>8.593327794430175E-2</v>
      </c>
      <c r="P33" s="36">
        <v>61000</v>
      </c>
      <c r="Q33" s="158">
        <f t="shared" ref="Q33:Q44" si="17">LOG10(P33)</f>
        <v>4.7853298350107671</v>
      </c>
      <c r="R33" s="159">
        <f>AVERAGE(Q33:Q38)</f>
        <v>4.7474286350218273</v>
      </c>
      <c r="S33" s="159">
        <f>_xlfn.STDEV.S(Q33:Q38)</f>
        <v>4.647375448925118E-2</v>
      </c>
      <c r="T33" s="159">
        <f>R33-R39</f>
        <v>1.4795666624811514</v>
      </c>
      <c r="U33" s="158">
        <f>S33+S39</f>
        <v>0.16394709272051494</v>
      </c>
      <c r="W33" s="99">
        <f t="shared" si="13"/>
        <v>870</v>
      </c>
      <c r="X33" s="87">
        <v>154.30000000000001</v>
      </c>
      <c r="Y33" s="127">
        <f t="shared" si="0"/>
        <v>67.998800000000017</v>
      </c>
      <c r="Z33" s="93">
        <v>286</v>
      </c>
      <c r="AA33" s="121">
        <f t="shared" si="1"/>
        <v>1082.51</v>
      </c>
      <c r="AB33" s="33"/>
      <c r="AC33" s="99">
        <f t="shared" si="10"/>
        <v>870</v>
      </c>
      <c r="AD33" s="87">
        <v>147.4</v>
      </c>
      <c r="AE33" s="127">
        <f t="shared" si="2"/>
        <v>64.162400000000005</v>
      </c>
      <c r="AF33" s="93">
        <v>287</v>
      </c>
      <c r="AG33" s="121">
        <f t="shared" si="3"/>
        <v>1086.2950000000001</v>
      </c>
      <c r="AH33" s="33"/>
      <c r="AI33" s="99">
        <f t="shared" si="11"/>
        <v>870</v>
      </c>
      <c r="AJ33" s="89">
        <v>140</v>
      </c>
      <c r="AK33" s="127">
        <f t="shared" si="4"/>
        <v>60.048000000000002</v>
      </c>
      <c r="AL33" s="107">
        <v>295</v>
      </c>
      <c r="AM33" s="121">
        <f t="shared" si="5"/>
        <v>1116.575</v>
      </c>
      <c r="AN33" s="33"/>
      <c r="AO33" s="99">
        <f t="shared" si="12"/>
        <v>870</v>
      </c>
      <c r="AP33" s="89">
        <v>134.69999999999999</v>
      </c>
      <c r="AQ33" s="127">
        <f t="shared" si="6"/>
        <v>57.101199999999999</v>
      </c>
      <c r="AR33" s="107">
        <v>292</v>
      </c>
      <c r="AS33" s="121">
        <f t="shared" si="7"/>
        <v>1105.22</v>
      </c>
    </row>
    <row r="34" spans="2:48" x14ac:dyDescent="0.25">
      <c r="B34" s="22"/>
      <c r="C34" s="10" t="s">
        <v>123</v>
      </c>
      <c r="D34" s="9"/>
      <c r="E34" s="10"/>
      <c r="F34" s="9"/>
      <c r="G34" s="10"/>
      <c r="H34" s="21">
        <v>20</v>
      </c>
      <c r="J34" s="11">
        <v>13900</v>
      </c>
      <c r="K34" s="141">
        <f t="shared" si="16"/>
        <v>4.143014800254095</v>
      </c>
      <c r="L34" s="215"/>
      <c r="M34" s="215"/>
      <c r="N34" s="215"/>
      <c r="O34" s="215"/>
      <c r="P34" s="37">
        <v>48000</v>
      </c>
      <c r="Q34" s="160">
        <f t="shared" si="17"/>
        <v>4.6812412373755876</v>
      </c>
      <c r="R34" s="37"/>
      <c r="S34" s="37"/>
      <c r="T34" s="37"/>
      <c r="U34" s="37"/>
      <c r="W34" s="99">
        <f t="shared" si="13"/>
        <v>900</v>
      </c>
      <c r="X34" s="87">
        <v>154.30000000000001</v>
      </c>
      <c r="Y34" s="127">
        <f t="shared" si="0"/>
        <v>67.998800000000017</v>
      </c>
      <c r="Z34" s="93">
        <v>290</v>
      </c>
      <c r="AA34" s="121">
        <f t="shared" si="1"/>
        <v>1097.6500000000001</v>
      </c>
      <c r="AB34" s="33"/>
      <c r="AC34" s="99">
        <f t="shared" si="10"/>
        <v>900</v>
      </c>
      <c r="AD34" s="87">
        <v>147.5</v>
      </c>
      <c r="AE34" s="127">
        <f t="shared" si="2"/>
        <v>64.218000000000004</v>
      </c>
      <c r="AF34" s="93">
        <v>295</v>
      </c>
      <c r="AG34" s="121">
        <f t="shared" si="3"/>
        <v>1116.575</v>
      </c>
      <c r="AH34" s="33"/>
      <c r="AI34" s="99">
        <f t="shared" si="11"/>
        <v>900</v>
      </c>
      <c r="AJ34" s="89">
        <v>140</v>
      </c>
      <c r="AK34" s="127">
        <f t="shared" si="4"/>
        <v>60.048000000000002</v>
      </c>
      <c r="AL34" s="107">
        <v>301</v>
      </c>
      <c r="AM34" s="121">
        <f t="shared" si="5"/>
        <v>1139.2850000000001</v>
      </c>
      <c r="AN34" s="33"/>
      <c r="AO34" s="99">
        <f t="shared" si="12"/>
        <v>900</v>
      </c>
      <c r="AP34" s="89">
        <v>134.6</v>
      </c>
      <c r="AQ34" s="127">
        <f t="shared" si="6"/>
        <v>57.0456</v>
      </c>
      <c r="AR34" s="107">
        <v>278</v>
      </c>
      <c r="AS34" s="121">
        <f t="shared" si="7"/>
        <v>1052.23</v>
      </c>
    </row>
    <row r="35" spans="2:48" x14ac:dyDescent="0.25">
      <c r="B35" s="22"/>
      <c r="C35" s="10" t="s">
        <v>124</v>
      </c>
      <c r="D35" s="9"/>
      <c r="E35" s="10"/>
      <c r="F35" s="9"/>
      <c r="G35" s="10"/>
      <c r="H35" s="21">
        <v>40</v>
      </c>
      <c r="J35" s="11">
        <v>15500</v>
      </c>
      <c r="K35" s="141">
        <f t="shared" si="16"/>
        <v>4.1903316981702918</v>
      </c>
      <c r="L35" s="215"/>
      <c r="M35" s="215"/>
      <c r="N35" s="215"/>
      <c r="O35" s="215"/>
      <c r="P35" s="37">
        <v>62000</v>
      </c>
      <c r="Q35" s="160">
        <f t="shared" si="17"/>
        <v>4.7923916894982534</v>
      </c>
      <c r="R35" s="37"/>
      <c r="S35" s="37"/>
      <c r="T35" s="37"/>
      <c r="U35" s="37"/>
      <c r="W35" s="99">
        <f t="shared" si="13"/>
        <v>930</v>
      </c>
      <c r="X35" s="87">
        <v>154.30000000000001</v>
      </c>
      <c r="Y35" s="127">
        <f t="shared" si="0"/>
        <v>67.998800000000017</v>
      </c>
      <c r="Z35" s="93">
        <v>291</v>
      </c>
      <c r="AA35" s="121">
        <f t="shared" si="1"/>
        <v>1101.4349999999999</v>
      </c>
      <c r="AB35" s="33"/>
      <c r="AC35" s="99">
        <f t="shared" si="10"/>
        <v>930</v>
      </c>
      <c r="AD35" s="87">
        <v>147.4</v>
      </c>
      <c r="AE35" s="127">
        <f t="shared" si="2"/>
        <v>64.162400000000005</v>
      </c>
      <c r="AF35" s="93">
        <v>291</v>
      </c>
      <c r="AG35" s="121">
        <f t="shared" si="3"/>
        <v>1101.4349999999999</v>
      </c>
      <c r="AH35" s="33"/>
      <c r="AI35" s="99">
        <f t="shared" si="11"/>
        <v>930</v>
      </c>
      <c r="AJ35" s="89">
        <v>140.1</v>
      </c>
      <c r="AK35" s="127">
        <f t="shared" si="4"/>
        <v>60.1036</v>
      </c>
      <c r="AL35" s="107">
        <v>292</v>
      </c>
      <c r="AM35" s="121">
        <f t="shared" si="5"/>
        <v>1105.22</v>
      </c>
      <c r="AN35" s="33"/>
      <c r="AO35" s="99">
        <f t="shared" si="12"/>
        <v>930</v>
      </c>
      <c r="AP35" s="89">
        <v>134.69999999999999</v>
      </c>
      <c r="AQ35" s="127">
        <f t="shared" si="6"/>
        <v>57.101199999999999</v>
      </c>
      <c r="AR35" s="107">
        <v>294</v>
      </c>
      <c r="AS35" s="121">
        <f t="shared" si="7"/>
        <v>1112.79</v>
      </c>
    </row>
    <row r="36" spans="2:48" x14ac:dyDescent="0.25">
      <c r="B36" s="22"/>
      <c r="C36" s="10" t="s">
        <v>125</v>
      </c>
      <c r="D36" s="9"/>
      <c r="E36" s="10"/>
      <c r="F36" s="9"/>
      <c r="G36" s="10"/>
      <c r="H36" s="21">
        <v>60</v>
      </c>
      <c r="J36" s="11">
        <v>15000</v>
      </c>
      <c r="K36" s="141">
        <f t="shared" si="16"/>
        <v>4.1760912590556813</v>
      </c>
      <c r="L36" s="215"/>
      <c r="M36" s="215"/>
      <c r="N36" s="215"/>
      <c r="O36" s="215"/>
      <c r="P36" s="37">
        <v>52000</v>
      </c>
      <c r="Q36" s="160">
        <f t="shared" si="17"/>
        <v>4.7160033436347994</v>
      </c>
      <c r="R36" s="37"/>
      <c r="S36" s="37"/>
      <c r="T36" s="37"/>
      <c r="U36" s="37"/>
      <c r="W36" s="99">
        <f t="shared" si="13"/>
        <v>960</v>
      </c>
      <c r="X36" s="87">
        <v>154.19999999999999</v>
      </c>
      <c r="Y36" s="127">
        <f t="shared" si="0"/>
        <v>67.943200000000004</v>
      </c>
      <c r="Z36" s="93">
        <v>289</v>
      </c>
      <c r="AA36" s="121">
        <f t="shared" si="1"/>
        <v>1093.865</v>
      </c>
      <c r="AB36" s="33"/>
      <c r="AC36" s="99">
        <f t="shared" si="10"/>
        <v>960</v>
      </c>
      <c r="AD36" s="87">
        <v>147.5</v>
      </c>
      <c r="AE36" s="127">
        <f t="shared" si="2"/>
        <v>64.218000000000004</v>
      </c>
      <c r="AF36" s="93">
        <v>294</v>
      </c>
      <c r="AG36" s="121">
        <f t="shared" si="3"/>
        <v>1112.79</v>
      </c>
      <c r="AH36" s="33"/>
      <c r="AI36" s="99">
        <f t="shared" si="11"/>
        <v>960</v>
      </c>
      <c r="AJ36" s="89">
        <v>140.19999999999999</v>
      </c>
      <c r="AK36" s="127">
        <f t="shared" si="4"/>
        <v>60.159199999999998</v>
      </c>
      <c r="AL36" s="107">
        <v>294</v>
      </c>
      <c r="AM36" s="121">
        <f t="shared" si="5"/>
        <v>1112.79</v>
      </c>
      <c r="AN36" s="33"/>
      <c r="AO36" s="99">
        <f t="shared" si="12"/>
        <v>960</v>
      </c>
      <c r="AP36" s="89">
        <v>134.5</v>
      </c>
      <c r="AQ36" s="127">
        <f t="shared" si="6"/>
        <v>56.99</v>
      </c>
      <c r="AR36" s="107">
        <v>288</v>
      </c>
      <c r="AS36" s="121">
        <f t="shared" si="7"/>
        <v>1090.08</v>
      </c>
    </row>
    <row r="37" spans="2:48" x14ac:dyDescent="0.25">
      <c r="B37" s="22"/>
      <c r="C37" s="10" t="s">
        <v>126</v>
      </c>
      <c r="D37" s="9"/>
      <c r="E37" s="10"/>
      <c r="F37" s="9"/>
      <c r="G37" s="10"/>
      <c r="H37" s="21">
        <v>80</v>
      </c>
      <c r="J37" s="11">
        <v>13900</v>
      </c>
      <c r="K37" s="141">
        <f t="shared" si="16"/>
        <v>4.143014800254095</v>
      </c>
      <c r="L37" s="215"/>
      <c r="M37" s="215"/>
      <c r="N37" s="215"/>
      <c r="O37" s="215"/>
      <c r="P37" s="37">
        <v>61000</v>
      </c>
      <c r="Q37" s="160">
        <f t="shared" si="17"/>
        <v>4.7853298350107671</v>
      </c>
      <c r="R37" s="37"/>
      <c r="S37" s="37"/>
      <c r="T37" s="37"/>
      <c r="U37" s="37"/>
      <c r="W37" s="99">
        <f t="shared" si="13"/>
        <v>990</v>
      </c>
      <c r="X37" s="87">
        <v>154.19999999999999</v>
      </c>
      <c r="Y37" s="127">
        <f t="shared" si="0"/>
        <v>67.943200000000004</v>
      </c>
      <c r="Z37" s="93">
        <v>295</v>
      </c>
      <c r="AA37" s="121">
        <f t="shared" si="1"/>
        <v>1116.575</v>
      </c>
      <c r="AB37" s="33"/>
      <c r="AC37" s="99">
        <f t="shared" si="10"/>
        <v>990</v>
      </c>
      <c r="AD37" s="87">
        <v>147.30000000000001</v>
      </c>
      <c r="AE37" s="127">
        <f t="shared" si="2"/>
        <v>64.106800000000007</v>
      </c>
      <c r="AF37" s="93">
        <v>284</v>
      </c>
      <c r="AG37" s="121">
        <f t="shared" si="3"/>
        <v>1074.94</v>
      </c>
      <c r="AH37" s="33"/>
      <c r="AI37" s="99">
        <f t="shared" si="11"/>
        <v>990</v>
      </c>
      <c r="AJ37" s="89">
        <v>140.1</v>
      </c>
      <c r="AK37" s="127">
        <f t="shared" si="4"/>
        <v>60.1036</v>
      </c>
      <c r="AL37" s="107">
        <v>300</v>
      </c>
      <c r="AM37" s="121">
        <f t="shared" si="5"/>
        <v>1135.5</v>
      </c>
      <c r="AN37" s="33"/>
      <c r="AO37" s="99">
        <f t="shared" si="12"/>
        <v>990</v>
      </c>
      <c r="AP37" s="89">
        <v>134.4</v>
      </c>
      <c r="AQ37" s="127">
        <f t="shared" si="6"/>
        <v>56.934400000000011</v>
      </c>
      <c r="AR37" s="107">
        <v>295</v>
      </c>
      <c r="AS37" s="121">
        <f t="shared" si="7"/>
        <v>1116.575</v>
      </c>
    </row>
    <row r="38" spans="2:48" ht="15.75" thickBot="1" x14ac:dyDescent="0.3">
      <c r="B38" s="23"/>
      <c r="C38" s="13" t="s">
        <v>127</v>
      </c>
      <c r="D38" s="14"/>
      <c r="E38" s="13"/>
      <c r="F38" s="14"/>
      <c r="G38" s="13"/>
      <c r="H38" s="24">
        <v>100</v>
      </c>
      <c r="J38" s="15">
        <v>16600</v>
      </c>
      <c r="K38" s="142">
        <f t="shared" si="16"/>
        <v>4.220108088040055</v>
      </c>
      <c r="L38" s="216"/>
      <c r="M38" s="216"/>
      <c r="N38" s="216"/>
      <c r="O38" s="216"/>
      <c r="P38" s="38">
        <v>53000</v>
      </c>
      <c r="Q38" s="161">
        <f t="shared" si="17"/>
        <v>4.7242758696007892</v>
      </c>
      <c r="R38" s="38"/>
      <c r="S38" s="38"/>
      <c r="T38" s="38"/>
      <c r="U38" s="38"/>
      <c r="W38" s="99">
        <f t="shared" si="13"/>
        <v>1020</v>
      </c>
      <c r="X38" s="87">
        <v>154.4</v>
      </c>
      <c r="Y38" s="127">
        <f t="shared" si="0"/>
        <v>68.054400000000015</v>
      </c>
      <c r="Z38" s="93">
        <v>291</v>
      </c>
      <c r="AA38" s="121">
        <f t="shared" si="1"/>
        <v>1101.4349999999999</v>
      </c>
      <c r="AB38" s="33"/>
      <c r="AC38" s="99">
        <f t="shared" si="10"/>
        <v>1020</v>
      </c>
      <c r="AD38" s="84"/>
      <c r="AE38" s="127"/>
      <c r="AF38" s="110"/>
      <c r="AG38" s="121"/>
      <c r="AH38" s="33"/>
      <c r="AI38" s="99">
        <f t="shared" si="11"/>
        <v>1020</v>
      </c>
      <c r="AJ38" s="89">
        <v>139.80000000000001</v>
      </c>
      <c r="AK38" s="127">
        <f t="shared" si="4"/>
        <v>59.936800000000012</v>
      </c>
      <c r="AL38" s="107">
        <v>301</v>
      </c>
      <c r="AM38" s="121">
        <f t="shared" si="5"/>
        <v>1139.2850000000001</v>
      </c>
      <c r="AN38" s="33"/>
      <c r="AO38" s="99">
        <f t="shared" si="12"/>
        <v>1020</v>
      </c>
      <c r="AP38" s="84"/>
      <c r="AQ38" s="127"/>
      <c r="AR38" s="110"/>
      <c r="AS38" s="121"/>
    </row>
    <row r="39" spans="2:48" x14ac:dyDescent="0.25">
      <c r="B39" s="20">
        <v>42118</v>
      </c>
      <c r="C39" s="10" t="s">
        <v>128</v>
      </c>
      <c r="D39" s="9">
        <v>13</v>
      </c>
      <c r="E39" s="10">
        <v>64</v>
      </c>
      <c r="F39" s="9">
        <v>1065</v>
      </c>
      <c r="G39" s="10">
        <v>6</v>
      </c>
      <c r="H39" s="21">
        <v>0</v>
      </c>
      <c r="J39" s="11">
        <v>16300</v>
      </c>
      <c r="K39" s="157">
        <f t="shared" si="16"/>
        <v>4.2121876044039581</v>
      </c>
      <c r="L39" s="214">
        <f>AVERAGE(K39:K44)</f>
        <v>4.1773520044526133</v>
      </c>
      <c r="M39" s="214">
        <f>_xlfn.STDEV.S(K39:K44)</f>
        <v>4.1671275971346719E-2</v>
      </c>
      <c r="N39" s="214"/>
      <c r="O39" s="214"/>
      <c r="P39" s="37">
        <v>1600</v>
      </c>
      <c r="Q39" s="158">
        <f t="shared" si="17"/>
        <v>3.2041199826559246</v>
      </c>
      <c r="R39" s="159">
        <f>AVERAGE(Q39:Q44)</f>
        <v>3.2678619725406759</v>
      </c>
      <c r="S39" s="159">
        <f>_xlfn.STDEV.S(Q39:Q44)</f>
        <v>0.11747333823126375</v>
      </c>
      <c r="T39" s="159"/>
      <c r="U39" s="158"/>
      <c r="W39" s="99">
        <f t="shared" si="13"/>
        <v>1050</v>
      </c>
      <c r="X39" s="87">
        <v>154.6</v>
      </c>
      <c r="Y39" s="127">
        <f t="shared" si="0"/>
        <v>68.165599999999998</v>
      </c>
      <c r="Z39" s="93">
        <v>290</v>
      </c>
      <c r="AA39" s="121">
        <f t="shared" si="1"/>
        <v>1097.6500000000001</v>
      </c>
      <c r="AB39" s="33"/>
      <c r="AC39" s="99">
        <f t="shared" si="10"/>
        <v>1050</v>
      </c>
      <c r="AD39" s="84"/>
      <c r="AE39" s="127"/>
      <c r="AF39" s="110"/>
      <c r="AG39" s="121"/>
      <c r="AH39" s="33"/>
      <c r="AI39" s="99">
        <f t="shared" si="11"/>
        <v>1050</v>
      </c>
      <c r="AJ39" s="84"/>
      <c r="AK39" s="127"/>
      <c r="AL39" s="110"/>
      <c r="AM39" s="121"/>
      <c r="AN39" s="33"/>
      <c r="AO39" s="99">
        <f t="shared" si="12"/>
        <v>1050</v>
      </c>
      <c r="AP39" s="84"/>
      <c r="AQ39" s="127"/>
      <c r="AR39" s="110"/>
      <c r="AS39" s="121"/>
    </row>
    <row r="40" spans="2:48" ht="15.75" thickBot="1" x14ac:dyDescent="0.3">
      <c r="B40" s="22"/>
      <c r="C40" s="10" t="s">
        <v>129</v>
      </c>
      <c r="D40" s="9"/>
      <c r="E40" s="10"/>
      <c r="F40" s="9"/>
      <c r="G40" s="10"/>
      <c r="H40" s="21">
        <v>20</v>
      </c>
      <c r="J40" s="11">
        <v>15200</v>
      </c>
      <c r="K40" s="141">
        <f t="shared" si="16"/>
        <v>4.1818435879447726</v>
      </c>
      <c r="L40" s="215"/>
      <c r="M40" s="215"/>
      <c r="N40" s="215"/>
      <c r="O40" s="215"/>
      <c r="P40" s="37">
        <v>1600</v>
      </c>
      <c r="Q40" s="160">
        <f t="shared" si="17"/>
        <v>3.2041199826559246</v>
      </c>
      <c r="R40" s="37"/>
      <c r="S40" s="37"/>
      <c r="T40" s="37"/>
      <c r="U40" s="37"/>
      <c r="W40" s="100">
        <f t="shared" si="13"/>
        <v>1080</v>
      </c>
      <c r="X40" s="88">
        <v>154.6</v>
      </c>
      <c r="Y40" s="128">
        <f t="shared" si="0"/>
        <v>68.165599999999998</v>
      </c>
      <c r="Z40" s="94">
        <v>300</v>
      </c>
      <c r="AA40" s="122">
        <f t="shared" si="1"/>
        <v>1135.5</v>
      </c>
      <c r="AB40" s="33"/>
      <c r="AC40" s="100">
        <f t="shared" si="10"/>
        <v>1080</v>
      </c>
      <c r="AD40" s="85"/>
      <c r="AE40" s="128"/>
      <c r="AF40" s="111"/>
      <c r="AG40" s="122"/>
      <c r="AH40" s="33"/>
      <c r="AI40" s="100">
        <f t="shared" si="11"/>
        <v>1080</v>
      </c>
      <c r="AJ40" s="85"/>
      <c r="AK40" s="128"/>
      <c r="AL40" s="111"/>
      <c r="AM40" s="122"/>
      <c r="AN40" s="33"/>
      <c r="AO40" s="100">
        <f t="shared" si="12"/>
        <v>1080</v>
      </c>
      <c r="AP40" s="85"/>
      <c r="AQ40" s="128"/>
      <c r="AR40" s="111"/>
      <c r="AS40" s="122"/>
    </row>
    <row r="41" spans="2:48" x14ac:dyDescent="0.25">
      <c r="B41" s="22"/>
      <c r="C41" s="10" t="s">
        <v>222</v>
      </c>
      <c r="D41" s="9"/>
      <c r="E41" s="10"/>
      <c r="F41" s="9"/>
      <c r="G41" s="10"/>
      <c r="H41" s="21">
        <v>40</v>
      </c>
      <c r="J41" s="11">
        <v>16100</v>
      </c>
      <c r="K41" s="141">
        <f t="shared" si="16"/>
        <v>4.20682587603185</v>
      </c>
      <c r="L41" s="215"/>
      <c r="M41" s="215"/>
      <c r="N41" s="215"/>
      <c r="O41" s="215"/>
      <c r="P41" s="37">
        <v>1700</v>
      </c>
      <c r="Q41" s="160">
        <f t="shared" si="17"/>
        <v>3.2304489213782741</v>
      </c>
      <c r="R41" s="37"/>
      <c r="S41" s="37"/>
      <c r="T41" s="37"/>
      <c r="U41" s="37"/>
      <c r="W41" s="106"/>
      <c r="X41" s="106"/>
      <c r="Y41" s="133" t="s">
        <v>220</v>
      </c>
      <c r="Z41" s="106"/>
      <c r="AA41" s="133" t="s">
        <v>220</v>
      </c>
      <c r="AB41" s="33"/>
      <c r="AC41" s="106"/>
      <c r="AD41" s="33"/>
      <c r="AE41" s="133" t="s">
        <v>220</v>
      </c>
      <c r="AF41" s="33"/>
      <c r="AG41" s="133" t="s">
        <v>220</v>
      </c>
      <c r="AH41" s="33"/>
      <c r="AI41" s="106"/>
      <c r="AJ41" s="33"/>
      <c r="AK41" s="133" t="s">
        <v>220</v>
      </c>
      <c r="AL41" s="33"/>
      <c r="AM41" s="133" t="s">
        <v>220</v>
      </c>
      <c r="AN41" s="33"/>
      <c r="AO41" s="106"/>
      <c r="AP41" s="33"/>
      <c r="AQ41" s="133" t="s">
        <v>220</v>
      </c>
      <c r="AR41" s="33"/>
      <c r="AS41" s="133" t="s">
        <v>220</v>
      </c>
    </row>
    <row r="42" spans="2:48" ht="15.75" thickBot="1" x14ac:dyDescent="0.3">
      <c r="B42" s="22"/>
      <c r="C42" s="10" t="s">
        <v>223</v>
      </c>
      <c r="D42" s="9"/>
      <c r="E42" s="10"/>
      <c r="F42" s="9"/>
      <c r="G42" s="10"/>
      <c r="H42" s="21">
        <v>60</v>
      </c>
      <c r="J42" s="11">
        <v>16100</v>
      </c>
      <c r="K42" s="141">
        <f t="shared" si="16"/>
        <v>4.20682587603185</v>
      </c>
      <c r="L42" s="215"/>
      <c r="M42" s="215"/>
      <c r="N42" s="215"/>
      <c r="O42" s="215"/>
      <c r="P42" s="37">
        <v>1500</v>
      </c>
      <c r="Q42" s="160">
        <f t="shared" si="17"/>
        <v>3.1760912590556813</v>
      </c>
      <c r="R42" s="37"/>
      <c r="S42" s="37"/>
      <c r="T42" s="37"/>
      <c r="U42" s="37"/>
      <c r="W42" s="106"/>
      <c r="X42" s="106"/>
      <c r="Y42" s="135">
        <f>AVERAGE(Y4:Y40)</f>
        <v>68.06491891891892</v>
      </c>
      <c r="Z42" s="106"/>
      <c r="AA42" s="134">
        <f>AVERAGE(AA4:AA40)</f>
        <v>1102.1510810810812</v>
      </c>
      <c r="AB42" s="33"/>
      <c r="AC42" s="106"/>
      <c r="AD42" s="33"/>
      <c r="AE42" s="135">
        <f>AVERAGE(AE4:AE40)</f>
        <v>64.100258823529416</v>
      </c>
      <c r="AF42" s="33"/>
      <c r="AG42" s="134">
        <f>AVERAGE(AG4:AG40)</f>
        <v>1105.3313235294122</v>
      </c>
      <c r="AH42" s="33"/>
      <c r="AI42" s="106"/>
      <c r="AJ42" s="33"/>
      <c r="AK42" s="135">
        <f>AVERAGE(AK4:AK40)</f>
        <v>60.068651428571421</v>
      </c>
      <c r="AL42" s="33"/>
      <c r="AM42" s="134">
        <f>AVERAGE(AM4:AM40)</f>
        <v>1117.0075714285715</v>
      </c>
      <c r="AN42" s="33"/>
      <c r="AO42" s="106"/>
      <c r="AP42" s="33"/>
      <c r="AQ42" s="135">
        <f>AVERAGE(AQ4:AQ40)</f>
        <v>57.089752941176471</v>
      </c>
      <c r="AR42" s="33"/>
      <c r="AS42" s="134">
        <f>AVERAGE(AS4:AS40)</f>
        <v>1115.2391176470592</v>
      </c>
    </row>
    <row r="43" spans="2:48" x14ac:dyDescent="0.25">
      <c r="B43" s="22"/>
      <c r="C43" s="10" t="s">
        <v>224</v>
      </c>
      <c r="D43" s="9"/>
      <c r="E43" s="10"/>
      <c r="F43" s="9"/>
      <c r="G43" s="10"/>
      <c r="H43" s="21">
        <v>80</v>
      </c>
      <c r="J43" s="11">
        <v>14100</v>
      </c>
      <c r="K43" s="141">
        <f t="shared" si="16"/>
        <v>4.1492191126553797</v>
      </c>
      <c r="L43" s="215"/>
      <c r="M43" s="215"/>
      <c r="N43" s="215"/>
      <c r="O43" s="215"/>
      <c r="P43" s="37">
        <v>3100</v>
      </c>
      <c r="Q43" s="160">
        <f t="shared" si="17"/>
        <v>3.4913616938342726</v>
      </c>
      <c r="R43" s="37"/>
      <c r="S43" s="37"/>
      <c r="T43" s="37"/>
      <c r="U43" s="37"/>
      <c r="W43" s="106"/>
      <c r="X43" s="106"/>
      <c r="Y43" s="136"/>
      <c r="Z43" s="106"/>
      <c r="AA43" s="137"/>
      <c r="AB43" s="33"/>
      <c r="AC43" s="106"/>
      <c r="AD43" s="33"/>
      <c r="AE43" s="136"/>
      <c r="AF43" s="33"/>
      <c r="AG43" s="137"/>
      <c r="AH43" s="33"/>
      <c r="AI43" s="106"/>
      <c r="AJ43" s="33"/>
      <c r="AK43" s="136"/>
      <c r="AL43" s="33"/>
      <c r="AM43" s="137"/>
      <c r="AN43" s="33"/>
      <c r="AO43" s="106"/>
      <c r="AP43" s="33"/>
      <c r="AQ43" s="136"/>
      <c r="AR43" s="33"/>
      <c r="AS43" s="137"/>
    </row>
    <row r="44" spans="2:48" ht="15.75" thickBot="1" x14ac:dyDescent="0.3">
      <c r="B44" s="23"/>
      <c r="C44" s="13" t="s">
        <v>225</v>
      </c>
      <c r="D44" s="14"/>
      <c r="E44" s="13"/>
      <c r="F44" s="14"/>
      <c r="G44" s="13"/>
      <c r="H44" s="24">
        <v>100</v>
      </c>
      <c r="J44" s="15">
        <v>12800</v>
      </c>
      <c r="K44" s="142">
        <f t="shared" si="16"/>
        <v>4.1072099696478688</v>
      </c>
      <c r="L44" s="216"/>
      <c r="M44" s="216"/>
      <c r="N44" s="216"/>
      <c r="O44" s="216"/>
      <c r="P44" s="38">
        <v>2000</v>
      </c>
      <c r="Q44" s="161">
        <f t="shared" si="17"/>
        <v>3.3010299956639813</v>
      </c>
      <c r="R44" s="38"/>
      <c r="S44" s="38"/>
      <c r="T44" s="38"/>
      <c r="U44" s="38"/>
    </row>
    <row r="45" spans="2:48" ht="15.75" thickBot="1" x14ac:dyDescent="0.3">
      <c r="L45" s="217"/>
      <c r="M45" s="217"/>
      <c r="N45" s="217"/>
      <c r="O45" s="217"/>
      <c r="P45" s="75"/>
      <c r="Q45" s="75"/>
      <c r="R45" s="75"/>
      <c r="S45" s="75"/>
      <c r="W45" s="4" t="s">
        <v>205</v>
      </c>
      <c r="X45" s="4" t="s">
        <v>203</v>
      </c>
      <c r="Y45" s="4"/>
      <c r="Z45" s="4"/>
      <c r="AA45" s="4"/>
      <c r="AB45" s="4"/>
      <c r="AC45" s="4" t="s">
        <v>205</v>
      </c>
      <c r="AD45" s="4">
        <v>35</v>
      </c>
      <c r="AE45" s="4"/>
      <c r="AF45" s="4"/>
      <c r="AG45" s="4"/>
      <c r="AI45" s="4" t="s">
        <v>205</v>
      </c>
      <c r="AJ45">
        <v>35</v>
      </c>
      <c r="AO45" s="4" t="s">
        <v>205</v>
      </c>
      <c r="AP45">
        <v>35</v>
      </c>
      <c r="AU45" s="4"/>
    </row>
    <row r="46" spans="2:48" ht="19.5" thickBot="1" x14ac:dyDescent="0.35">
      <c r="B46" s="27" t="s">
        <v>18</v>
      </c>
      <c r="C46" s="28" t="s">
        <v>19</v>
      </c>
      <c r="D46" s="27" t="s">
        <v>20</v>
      </c>
      <c r="E46" s="28" t="s">
        <v>21</v>
      </c>
      <c r="F46" s="27" t="s">
        <v>22</v>
      </c>
      <c r="G46" s="28" t="s">
        <v>23</v>
      </c>
      <c r="H46" s="5" t="s">
        <v>24</v>
      </c>
      <c r="J46" s="7"/>
      <c r="K46" s="7"/>
      <c r="L46" s="218"/>
      <c r="M46" s="218"/>
      <c r="N46" s="218"/>
      <c r="O46" s="218"/>
      <c r="P46" s="7" t="s">
        <v>130</v>
      </c>
      <c r="Q46" s="7"/>
      <c r="R46" s="7"/>
      <c r="S46" s="7"/>
      <c r="T46" s="7"/>
      <c r="U46" s="7"/>
      <c r="W46" s="4" t="s">
        <v>206</v>
      </c>
      <c r="X46" s="4" t="s">
        <v>204</v>
      </c>
      <c r="Y46" s="4"/>
      <c r="Z46" s="4"/>
      <c r="AA46" s="4"/>
      <c r="AB46" s="4"/>
      <c r="AC46" s="4" t="s">
        <v>206</v>
      </c>
      <c r="AD46" s="4" t="s">
        <v>204</v>
      </c>
      <c r="AE46" s="4"/>
      <c r="AF46" s="4"/>
      <c r="AG46" s="4"/>
      <c r="AI46" s="4" t="s">
        <v>206</v>
      </c>
      <c r="AO46" s="4" t="s">
        <v>206</v>
      </c>
      <c r="AS46" s="138" t="s">
        <v>221</v>
      </c>
      <c r="AU46" s="4"/>
      <c r="AV46" s="95"/>
    </row>
    <row r="47" spans="2:48" ht="19.5" thickBot="1" x14ac:dyDescent="0.35">
      <c r="B47" s="20">
        <v>42118</v>
      </c>
      <c r="C47" s="30" t="s">
        <v>226</v>
      </c>
      <c r="D47" s="31">
        <v>14</v>
      </c>
      <c r="E47" s="30">
        <v>68</v>
      </c>
      <c r="F47" s="31">
        <v>1065</v>
      </c>
      <c r="G47" s="30">
        <v>1</v>
      </c>
      <c r="H47" s="21">
        <v>0</v>
      </c>
      <c r="J47" s="15">
        <v>14100</v>
      </c>
      <c r="K47" s="157">
        <f t="shared" ref="K47:K58" si="18">LOG10(J47)</f>
        <v>4.1492191126553797</v>
      </c>
      <c r="L47" s="214">
        <f>AVERAGE(K47:K52)</f>
        <v>4.135082865093243</v>
      </c>
      <c r="M47" s="214">
        <f>_xlfn.STDEV.S(K47:K52)</f>
        <v>3.4258929270721918E-2</v>
      </c>
      <c r="N47" s="214">
        <f>L47-L53</f>
        <v>0.76111868389325243</v>
      </c>
      <c r="O47" s="214">
        <f>M47+M53</f>
        <v>0.21608392108309782</v>
      </c>
      <c r="P47" s="143">
        <v>68000</v>
      </c>
      <c r="Q47" s="158">
        <f t="shared" ref="Q47:Q58" si="19">LOG10(P47)</f>
        <v>4.8325089127062366</v>
      </c>
      <c r="R47" s="159">
        <f>AVERAGE(Q47:Q52)</f>
        <v>4.76496729313995</v>
      </c>
      <c r="S47" s="159">
        <f>_xlfn.STDEV.S(Q47:Q52)</f>
        <v>6.0118657648668868E-2</v>
      </c>
      <c r="T47" s="159">
        <f>R47-R53</f>
        <v>2.8860061892628801</v>
      </c>
      <c r="U47" s="158">
        <f>S47+S53</f>
        <v>0.3326098728846793</v>
      </c>
      <c r="AS47" s="139">
        <f>AVERAGE(AS42,AM42,AG42,AA42,P42)</f>
        <v>1187.9458187372247</v>
      </c>
    </row>
    <row r="48" spans="2:48" x14ac:dyDescent="0.25">
      <c r="B48" s="22"/>
      <c r="C48" s="10" t="s">
        <v>227</v>
      </c>
      <c r="D48" s="9"/>
      <c r="E48" s="10"/>
      <c r="F48" s="9"/>
      <c r="G48" s="10"/>
      <c r="H48" s="21">
        <v>20</v>
      </c>
      <c r="J48" s="11">
        <v>12000</v>
      </c>
      <c r="K48" s="141">
        <f t="shared" si="18"/>
        <v>4.0791812460476251</v>
      </c>
      <c r="L48" s="215"/>
      <c r="M48" s="215"/>
      <c r="N48" s="215"/>
      <c r="O48" s="215"/>
      <c r="P48" s="144">
        <v>63000</v>
      </c>
      <c r="Q48" s="160">
        <f t="shared" si="19"/>
        <v>4.7993405494535821</v>
      </c>
      <c r="R48" s="37"/>
      <c r="S48" s="37"/>
      <c r="T48" s="37"/>
      <c r="U48" s="37"/>
    </row>
    <row r="49" spans="2:21" x14ac:dyDescent="0.25">
      <c r="B49" s="22"/>
      <c r="C49" s="10" t="s">
        <v>228</v>
      </c>
      <c r="D49" s="9"/>
      <c r="E49" s="10"/>
      <c r="F49" s="9"/>
      <c r="G49" s="10"/>
      <c r="H49" s="21">
        <v>40</v>
      </c>
      <c r="J49" s="11">
        <v>13600</v>
      </c>
      <c r="K49" s="141">
        <f t="shared" si="18"/>
        <v>4.1335389083702179</v>
      </c>
      <c r="L49" s="215"/>
      <c r="M49" s="215"/>
      <c r="N49" s="215"/>
      <c r="O49" s="215"/>
      <c r="P49" s="144">
        <v>65000</v>
      </c>
      <c r="Q49" s="160">
        <f t="shared" si="19"/>
        <v>4.8129133566428557</v>
      </c>
      <c r="R49" s="37"/>
      <c r="S49" s="37"/>
      <c r="T49" s="37"/>
      <c r="U49" s="37"/>
    </row>
    <row r="50" spans="2:21" x14ac:dyDescent="0.25">
      <c r="B50" s="22"/>
      <c r="C50" s="10" t="s">
        <v>229</v>
      </c>
      <c r="D50" s="9"/>
      <c r="E50" s="10"/>
      <c r="F50" s="9"/>
      <c r="G50" s="10"/>
      <c r="H50" s="21">
        <v>60</v>
      </c>
      <c r="J50" s="11">
        <v>14600</v>
      </c>
      <c r="K50" s="141">
        <f t="shared" si="18"/>
        <v>4.1643528557844371</v>
      </c>
      <c r="L50" s="215"/>
      <c r="M50" s="215"/>
      <c r="N50" s="215"/>
      <c r="O50" s="215"/>
      <c r="P50" s="144">
        <v>57000</v>
      </c>
      <c r="Q50" s="160">
        <f t="shared" si="19"/>
        <v>4.7558748556724915</v>
      </c>
      <c r="R50" s="37"/>
      <c r="S50" s="37"/>
      <c r="T50" s="37"/>
      <c r="U50" s="37"/>
    </row>
    <row r="51" spans="2:21" x14ac:dyDescent="0.25">
      <c r="B51" s="22"/>
      <c r="C51" s="10" t="s">
        <v>230</v>
      </c>
      <c r="D51" s="9"/>
      <c r="E51" s="10"/>
      <c r="F51" s="9"/>
      <c r="G51" s="10"/>
      <c r="H51" s="21">
        <v>80</v>
      </c>
      <c r="J51" s="11">
        <v>13000</v>
      </c>
      <c r="K51" s="141">
        <f t="shared" si="18"/>
        <v>4.1139433523068369</v>
      </c>
      <c r="L51" s="215"/>
      <c r="M51" s="215"/>
      <c r="N51" s="215"/>
      <c r="O51" s="215"/>
      <c r="P51" s="144">
        <v>50000</v>
      </c>
      <c r="Q51" s="160">
        <f t="shared" si="19"/>
        <v>4.6989700043360187</v>
      </c>
      <c r="R51" s="37"/>
      <c r="S51" s="37"/>
      <c r="T51" s="37"/>
      <c r="U51" s="37"/>
    </row>
    <row r="52" spans="2:21" ht="15.75" thickBot="1" x14ac:dyDescent="0.3">
      <c r="B52" s="23"/>
      <c r="C52" s="13" t="s">
        <v>231</v>
      </c>
      <c r="D52" s="14"/>
      <c r="E52" s="13"/>
      <c r="F52" s="14"/>
      <c r="G52" s="13"/>
      <c r="H52" s="24">
        <v>100</v>
      </c>
      <c r="J52" s="15">
        <v>14800</v>
      </c>
      <c r="K52" s="142">
        <f t="shared" si="18"/>
        <v>4.1702617153949575</v>
      </c>
      <c r="L52" s="216"/>
      <c r="M52" s="216"/>
      <c r="N52" s="216"/>
      <c r="O52" s="216"/>
      <c r="P52" s="145">
        <v>49000</v>
      </c>
      <c r="Q52" s="161">
        <f t="shared" si="19"/>
        <v>4.6901960800285138</v>
      </c>
      <c r="R52" s="38"/>
      <c r="S52" s="38"/>
      <c r="T52" s="38"/>
      <c r="U52" s="38"/>
    </row>
    <row r="53" spans="2:21" x14ac:dyDescent="0.25">
      <c r="B53" s="20">
        <v>42118</v>
      </c>
      <c r="C53" s="10" t="s">
        <v>232</v>
      </c>
      <c r="D53" s="9">
        <v>14</v>
      </c>
      <c r="E53" s="10">
        <v>68</v>
      </c>
      <c r="F53" s="9">
        <v>1065</v>
      </c>
      <c r="G53" s="10">
        <v>6</v>
      </c>
      <c r="H53" s="21">
        <v>0</v>
      </c>
      <c r="J53" s="11">
        <v>1400</v>
      </c>
      <c r="K53" s="157">
        <f t="shared" si="18"/>
        <v>3.1461280356782382</v>
      </c>
      <c r="L53" s="214">
        <f>AVERAGE(K53:K58)</f>
        <v>3.3739641811999905</v>
      </c>
      <c r="M53" s="214">
        <f>_xlfn.STDEV.S(K53:K58)</f>
        <v>0.18182499181237591</v>
      </c>
      <c r="N53" s="214"/>
      <c r="O53" s="214"/>
      <c r="P53" s="37">
        <v>88</v>
      </c>
      <c r="Q53" s="158">
        <f t="shared" si="19"/>
        <v>1.9444826721501687</v>
      </c>
      <c r="R53" s="159">
        <f>AVERAGE(Q53:Q58)</f>
        <v>1.8789611038770699</v>
      </c>
      <c r="S53" s="159">
        <f>_xlfn.STDEV.S(Q53:Q58)</f>
        <v>0.27249121523601044</v>
      </c>
      <c r="T53" s="159"/>
      <c r="U53" s="158"/>
    </row>
    <row r="54" spans="2:21" x14ac:dyDescent="0.25">
      <c r="B54" s="22"/>
      <c r="C54" s="10" t="s">
        <v>233</v>
      </c>
      <c r="D54" s="9"/>
      <c r="E54" s="10"/>
      <c r="F54" s="9"/>
      <c r="G54" s="10"/>
      <c r="H54" s="21">
        <v>20</v>
      </c>
      <c r="J54" s="11">
        <v>2200</v>
      </c>
      <c r="K54" s="141">
        <f t="shared" si="18"/>
        <v>3.3424226808222062</v>
      </c>
      <c r="L54" s="215"/>
      <c r="M54" s="215"/>
      <c r="N54" s="215"/>
      <c r="O54" s="215"/>
      <c r="P54" s="37">
        <v>120</v>
      </c>
      <c r="Q54" s="160">
        <f t="shared" si="19"/>
        <v>2.0791812460476247</v>
      </c>
      <c r="R54" s="37"/>
      <c r="S54" s="37"/>
      <c r="T54" s="37"/>
      <c r="U54" s="37"/>
    </row>
    <row r="55" spans="2:21" x14ac:dyDescent="0.25">
      <c r="B55" s="22"/>
      <c r="C55" s="10" t="s">
        <v>234</v>
      </c>
      <c r="D55" s="9"/>
      <c r="E55" s="10"/>
      <c r="F55" s="9"/>
      <c r="G55" s="10"/>
      <c r="H55" s="21">
        <v>40</v>
      </c>
      <c r="J55" s="11">
        <v>1700</v>
      </c>
      <c r="K55" s="141">
        <f t="shared" si="18"/>
        <v>3.2304489213782741</v>
      </c>
      <c r="L55" s="215"/>
      <c r="M55" s="215"/>
      <c r="N55" s="215"/>
      <c r="O55" s="215"/>
      <c r="P55" s="37">
        <v>22</v>
      </c>
      <c r="Q55" s="160">
        <f t="shared" si="19"/>
        <v>1.3424226808222062</v>
      </c>
      <c r="R55" s="37"/>
      <c r="S55" s="37"/>
      <c r="T55" s="37"/>
      <c r="U55" s="37"/>
    </row>
    <row r="56" spans="2:21" x14ac:dyDescent="0.25">
      <c r="B56" s="22"/>
      <c r="C56" s="10" t="s">
        <v>235</v>
      </c>
      <c r="D56" s="9"/>
      <c r="E56" s="10"/>
      <c r="F56" s="9"/>
      <c r="G56" s="10"/>
      <c r="H56" s="21">
        <v>60</v>
      </c>
      <c r="J56" s="11">
        <v>3100</v>
      </c>
      <c r="K56" s="141">
        <f t="shared" si="18"/>
        <v>3.4913616938342726</v>
      </c>
      <c r="L56" s="215"/>
      <c r="M56" s="215"/>
      <c r="N56" s="215"/>
      <c r="O56" s="215"/>
      <c r="P56" s="37">
        <v>75</v>
      </c>
      <c r="Q56" s="160">
        <f t="shared" si="19"/>
        <v>1.8750612633917001</v>
      </c>
      <c r="R56" s="37"/>
      <c r="S56" s="37"/>
      <c r="T56" s="37"/>
      <c r="U56" s="37"/>
    </row>
    <row r="57" spans="2:21" x14ac:dyDescent="0.25">
      <c r="B57" s="22"/>
      <c r="C57" s="10" t="s">
        <v>236</v>
      </c>
      <c r="D57" s="9"/>
      <c r="E57" s="10"/>
      <c r="F57" s="9"/>
      <c r="G57" s="10"/>
      <c r="H57" s="21">
        <v>80</v>
      </c>
      <c r="J57" s="11">
        <v>4500</v>
      </c>
      <c r="K57" s="141">
        <f t="shared" si="18"/>
        <v>3.6532125137753435</v>
      </c>
      <c r="L57" s="215"/>
      <c r="M57" s="215"/>
      <c r="N57" s="215"/>
      <c r="O57" s="215"/>
      <c r="P57" s="37">
        <v>98</v>
      </c>
      <c r="Q57" s="160">
        <f t="shared" si="19"/>
        <v>1.9912260756924949</v>
      </c>
      <c r="R57" s="37"/>
      <c r="S57" s="37"/>
      <c r="T57" s="37"/>
      <c r="U57" s="37"/>
    </row>
    <row r="58" spans="2:21" ht="15.75" thickBot="1" x14ac:dyDescent="0.3">
      <c r="B58" s="39"/>
      <c r="C58" s="13" t="s">
        <v>237</v>
      </c>
      <c r="D58" s="40"/>
      <c r="E58" s="41"/>
      <c r="F58" s="40"/>
      <c r="G58" s="41"/>
      <c r="H58" s="24">
        <v>100</v>
      </c>
      <c r="J58" s="15">
        <v>2400</v>
      </c>
      <c r="K58" s="142">
        <f t="shared" si="18"/>
        <v>3.3802112417116059</v>
      </c>
      <c r="L58" s="216"/>
      <c r="M58" s="216"/>
      <c r="N58" s="216"/>
      <c r="O58" s="216"/>
      <c r="P58" s="38">
        <v>110</v>
      </c>
      <c r="Q58" s="161">
        <f t="shared" si="19"/>
        <v>2.0413926851582249</v>
      </c>
      <c r="R58" s="38"/>
      <c r="S58" s="38"/>
      <c r="T58" s="38"/>
      <c r="U58" s="38"/>
    </row>
    <row r="59" spans="2:21" x14ac:dyDescent="0.25">
      <c r="O59" t="s">
        <v>246</v>
      </c>
      <c r="U59" t="s">
        <v>246</v>
      </c>
    </row>
    <row r="60" spans="2:21" x14ac:dyDescent="0.25">
      <c r="O60" s="146">
        <f>AVERAGE(O5,O19,O33,O47)</f>
        <v>0.11250674346659867</v>
      </c>
      <c r="U60" s="146">
        <f>AVERAGE(U5,U19,U33,U47)</f>
        <v>0.22921888239288718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80"/>
  <sheetViews>
    <sheetView topLeftCell="M1" zoomScaleNormal="100" workbookViewId="0"/>
  </sheetViews>
  <sheetFormatPr defaultRowHeight="15" x14ac:dyDescent="0.25"/>
  <cols>
    <col min="2" max="2" width="44.85546875" bestFit="1" customWidth="1"/>
    <col min="3" max="3" width="17.28515625" customWidth="1"/>
    <col min="4" max="4" width="17.28515625" bestFit="1" customWidth="1"/>
    <col min="5" max="5" width="23.5703125" customWidth="1"/>
    <col min="6" max="6" width="18.85546875" customWidth="1"/>
    <col min="7" max="7" width="16" customWidth="1"/>
    <col min="8" max="8" width="23.140625" customWidth="1"/>
    <col min="9" max="9" width="20.140625" customWidth="1"/>
    <col min="10" max="15" width="22" customWidth="1"/>
    <col min="16" max="16" width="15" customWidth="1"/>
    <col min="17" max="17" width="27.85546875" customWidth="1"/>
    <col min="18" max="19" width="22.7109375" customWidth="1"/>
    <col min="20" max="20" width="12.140625" bestFit="1" customWidth="1"/>
    <col min="21" max="21" width="14.28515625" customWidth="1"/>
    <col min="23" max="23" width="27.85546875" bestFit="1" customWidth="1"/>
    <col min="24" max="24" width="22.7109375" bestFit="1" customWidth="1"/>
    <col min="25" max="25" width="22.7109375" customWidth="1"/>
    <col min="26" max="26" width="12.140625" bestFit="1" customWidth="1"/>
    <col min="27" max="27" width="12.140625" customWidth="1"/>
    <col min="29" max="29" width="27.85546875" bestFit="1" customWidth="1"/>
    <col min="30" max="30" width="22.7109375" bestFit="1" customWidth="1"/>
    <col min="31" max="31" width="22.7109375" customWidth="1"/>
    <col min="32" max="32" width="12.140625" bestFit="1" customWidth="1"/>
    <col min="33" max="33" width="12.140625" customWidth="1"/>
    <col min="35" max="35" width="27.85546875" bestFit="1" customWidth="1"/>
    <col min="36" max="36" width="22.7109375" bestFit="1" customWidth="1"/>
    <col min="37" max="37" width="22.7109375" customWidth="1"/>
    <col min="38" max="38" width="12.140625" bestFit="1" customWidth="1"/>
    <col min="39" max="39" width="12.140625" customWidth="1"/>
    <col min="41" max="41" width="27.85546875" bestFit="1" customWidth="1"/>
    <col min="42" max="42" width="26.7109375" bestFit="1" customWidth="1"/>
    <col min="43" max="43" width="26.7109375" customWidth="1"/>
    <col min="44" max="44" width="12.140625" bestFit="1" customWidth="1"/>
    <col min="45" max="45" width="12.140625" customWidth="1"/>
  </cols>
  <sheetData>
    <row r="1" spans="1:45" ht="23.25" x14ac:dyDescent="0.35">
      <c r="A1" s="76"/>
    </row>
    <row r="2" spans="1:45" ht="23.25" x14ac:dyDescent="0.35">
      <c r="B2" s="43" t="s">
        <v>311</v>
      </c>
      <c r="C2" s="4"/>
      <c r="D2" s="4"/>
      <c r="E2" s="4"/>
      <c r="F2" s="4"/>
      <c r="G2" s="4"/>
      <c r="H2" s="4"/>
      <c r="J2" s="4"/>
      <c r="K2" s="4"/>
      <c r="L2" s="4"/>
      <c r="M2" s="4"/>
      <c r="N2" s="4"/>
      <c r="O2" s="4"/>
      <c r="P2" t="s">
        <v>244</v>
      </c>
    </row>
    <row r="3" spans="1:45" ht="24" thickBot="1" x14ac:dyDescent="0.4">
      <c r="B3" s="4"/>
      <c r="C3" s="4"/>
      <c r="D3" s="4"/>
      <c r="E3" s="4"/>
      <c r="F3" s="4"/>
      <c r="G3" s="4"/>
      <c r="H3" s="4"/>
      <c r="J3" s="4"/>
      <c r="K3" s="4"/>
      <c r="L3" s="4"/>
      <c r="M3" s="4"/>
      <c r="N3" s="4"/>
      <c r="O3" s="4"/>
      <c r="P3" t="s">
        <v>245</v>
      </c>
      <c r="Q3" s="96" t="s">
        <v>195</v>
      </c>
      <c r="R3" s="4"/>
      <c r="S3" s="4"/>
      <c r="T3" s="4"/>
      <c r="U3" s="4"/>
      <c r="V3" s="4"/>
      <c r="W3" s="4"/>
      <c r="X3" s="4"/>
      <c r="Y3" s="4"/>
      <c r="Z3" s="4"/>
      <c r="AA3" s="4"/>
    </row>
    <row r="4" spans="1:45" ht="15.75" thickBot="1" x14ac:dyDescent="0.3">
      <c r="B4" s="5" t="s">
        <v>18</v>
      </c>
      <c r="C4" s="6" t="s">
        <v>19</v>
      </c>
      <c r="D4" s="5" t="s">
        <v>20</v>
      </c>
      <c r="E4" s="6" t="s">
        <v>21</v>
      </c>
      <c r="F4" s="5" t="s">
        <v>22</v>
      </c>
      <c r="G4" s="6" t="s">
        <v>23</v>
      </c>
      <c r="H4" s="5" t="s">
        <v>24</v>
      </c>
      <c r="J4" s="7" t="s">
        <v>57</v>
      </c>
      <c r="K4" s="7" t="s">
        <v>240</v>
      </c>
      <c r="L4" s="7" t="s">
        <v>241</v>
      </c>
      <c r="M4" s="7" t="s">
        <v>242</v>
      </c>
      <c r="N4" s="7" t="s">
        <v>218</v>
      </c>
      <c r="O4" s="25" t="s">
        <v>243</v>
      </c>
      <c r="P4" s="131" t="s">
        <v>218</v>
      </c>
      <c r="Q4" s="102" t="s">
        <v>196</v>
      </c>
      <c r="R4" s="103" t="s">
        <v>198</v>
      </c>
      <c r="S4" s="104" t="s">
        <v>215</v>
      </c>
      <c r="T4" s="104" t="s">
        <v>197</v>
      </c>
      <c r="U4" s="103" t="s">
        <v>2</v>
      </c>
      <c r="V4" s="4"/>
      <c r="W4" s="102" t="s">
        <v>196</v>
      </c>
      <c r="X4" s="103" t="s">
        <v>199</v>
      </c>
      <c r="Y4" s="104" t="s">
        <v>215</v>
      </c>
      <c r="Z4" s="104" t="s">
        <v>197</v>
      </c>
      <c r="AA4" s="103" t="s">
        <v>2</v>
      </c>
      <c r="AC4" s="102" t="s">
        <v>196</v>
      </c>
      <c r="AD4" s="103" t="s">
        <v>200</v>
      </c>
      <c r="AE4" s="104" t="s">
        <v>215</v>
      </c>
      <c r="AF4" s="104" t="s">
        <v>197</v>
      </c>
      <c r="AG4" s="103" t="s">
        <v>2</v>
      </c>
      <c r="AI4" s="102" t="s">
        <v>196</v>
      </c>
      <c r="AJ4" s="103" t="s">
        <v>201</v>
      </c>
      <c r="AK4" s="104" t="s">
        <v>215</v>
      </c>
      <c r="AL4" s="104" t="s">
        <v>197</v>
      </c>
      <c r="AM4" s="103" t="s">
        <v>2</v>
      </c>
      <c r="AO4" s="102" t="s">
        <v>196</v>
      </c>
      <c r="AP4" s="103" t="s">
        <v>202</v>
      </c>
      <c r="AQ4" s="104" t="s">
        <v>215</v>
      </c>
      <c r="AR4" s="104" t="s">
        <v>197</v>
      </c>
      <c r="AS4" s="103" t="s">
        <v>2</v>
      </c>
    </row>
    <row r="5" spans="1:45" x14ac:dyDescent="0.25">
      <c r="B5" s="8">
        <v>42118</v>
      </c>
      <c r="C5" s="9" t="s">
        <v>25</v>
      </c>
      <c r="D5" s="10">
        <v>1</v>
      </c>
      <c r="E5" s="9">
        <v>75</v>
      </c>
      <c r="F5" s="10">
        <v>1065</v>
      </c>
      <c r="G5" s="9">
        <v>5</v>
      </c>
      <c r="H5" s="30">
        <v>0</v>
      </c>
      <c r="J5" s="163">
        <v>0.3</v>
      </c>
      <c r="K5" s="141">
        <f t="shared" ref="K5:K10" si="0">LOG10(J5)</f>
        <v>-0.52287874528033762</v>
      </c>
      <c r="L5" s="140">
        <f>AVERAGE(K5:K10)</f>
        <v>-0.21216687867728959</v>
      </c>
      <c r="M5" s="140">
        <f>_xlfn.STDEV.S(K5:K10)</f>
        <v>0.37590534104589918</v>
      </c>
      <c r="N5" s="140">
        <f>$L$37-L5</f>
        <v>4.2330390875802939</v>
      </c>
      <c r="O5" s="148">
        <f>M5+$M$37</f>
        <v>0.47566318006473585</v>
      </c>
      <c r="P5">
        <f>$P$37-LOG10(AVERAGE(J5:J10))</f>
        <v>4.1143163025101988</v>
      </c>
      <c r="Q5" s="45">
        <v>0</v>
      </c>
      <c r="R5" s="101">
        <v>166.9</v>
      </c>
      <c r="S5" s="120">
        <f t="shared" ref="S5:S13" si="1">(R5-32)*0.556</f>
        <v>75.004400000000004</v>
      </c>
      <c r="T5" s="98">
        <v>290</v>
      </c>
      <c r="U5" s="80">
        <f t="shared" ref="U5:U13" si="2">T5*3.785</f>
        <v>1097.6500000000001</v>
      </c>
      <c r="V5" s="4"/>
      <c r="W5" s="97">
        <v>0</v>
      </c>
      <c r="X5" s="101">
        <v>161.69999999999999</v>
      </c>
      <c r="Y5" s="120">
        <f t="shared" ref="Y5:Y12" si="3">(X5-32)*0.556</f>
        <v>72.113200000000006</v>
      </c>
      <c r="Z5" s="98">
        <v>292</v>
      </c>
      <c r="AA5" s="80">
        <f t="shared" ref="AA5:AA12" si="4">Z5*3.785</f>
        <v>1105.22</v>
      </c>
      <c r="AC5" s="97">
        <v>0</v>
      </c>
      <c r="AD5" s="101">
        <v>156.19999999999999</v>
      </c>
      <c r="AE5" s="120">
        <f t="shared" ref="AE5:AE12" si="5">(AD5-32)*0.556</f>
        <v>69.055199999999999</v>
      </c>
      <c r="AF5" s="98">
        <v>293</v>
      </c>
      <c r="AG5" s="80">
        <f t="shared" ref="AG5:AG12" si="6">AF5*3.785</f>
        <v>1109.0050000000001</v>
      </c>
      <c r="AI5" s="97">
        <v>0</v>
      </c>
      <c r="AJ5" s="101">
        <v>150.80000000000001</v>
      </c>
      <c r="AK5" s="120">
        <f t="shared" ref="AK5:AK12" si="7">(AJ5-32)*0.556</f>
        <v>66.052800000000019</v>
      </c>
      <c r="AL5" s="98">
        <v>283</v>
      </c>
      <c r="AM5" s="80">
        <f t="shared" ref="AM5:AM12" si="8">AL5*3.785</f>
        <v>1071.155</v>
      </c>
      <c r="AO5" s="97">
        <v>0</v>
      </c>
      <c r="AP5" s="101">
        <v>84</v>
      </c>
      <c r="AQ5" s="120">
        <f t="shared" ref="AQ5:AQ12" si="9">(AP5-32)*0.556</f>
        <v>28.912000000000003</v>
      </c>
      <c r="AR5" s="98">
        <v>286</v>
      </c>
      <c r="AS5" s="80">
        <f t="shared" ref="AS5:AS12" si="10">AR5*3.785</f>
        <v>1082.51</v>
      </c>
    </row>
    <row r="6" spans="1:45" x14ac:dyDescent="0.25">
      <c r="B6" s="10"/>
      <c r="C6" s="9" t="s">
        <v>26</v>
      </c>
      <c r="D6" s="10"/>
      <c r="E6" s="9"/>
      <c r="F6" s="10"/>
      <c r="G6" s="9"/>
      <c r="H6" s="10">
        <v>10</v>
      </c>
      <c r="J6" s="164">
        <v>1</v>
      </c>
      <c r="K6" s="141">
        <f t="shared" si="0"/>
        <v>0</v>
      </c>
      <c r="L6" s="11"/>
      <c r="M6" s="11"/>
      <c r="N6" s="11"/>
      <c r="O6" s="11"/>
      <c r="Q6" s="101">
        <f t="shared" ref="Q6:Q19" si="11">Q5+30</f>
        <v>30</v>
      </c>
      <c r="R6" s="101">
        <v>166.9</v>
      </c>
      <c r="S6" s="120">
        <f t="shared" si="1"/>
        <v>75.004400000000004</v>
      </c>
      <c r="T6" s="98">
        <v>288</v>
      </c>
      <c r="U6" s="80">
        <f t="shared" si="2"/>
        <v>1090.08</v>
      </c>
      <c r="V6" s="4"/>
      <c r="W6" s="97">
        <f t="shared" ref="W6:W19" si="12">W5+30</f>
        <v>30</v>
      </c>
      <c r="X6" s="101">
        <v>161.6</v>
      </c>
      <c r="Y6" s="120">
        <f t="shared" si="3"/>
        <v>72.057600000000008</v>
      </c>
      <c r="Z6" s="98">
        <v>292</v>
      </c>
      <c r="AA6" s="80">
        <f t="shared" si="4"/>
        <v>1105.22</v>
      </c>
      <c r="AC6" s="97">
        <f t="shared" ref="AC6:AC19" si="13">AC5+30</f>
        <v>30</v>
      </c>
      <c r="AD6" s="101">
        <v>156.1</v>
      </c>
      <c r="AE6" s="120">
        <f t="shared" si="5"/>
        <v>68.999600000000001</v>
      </c>
      <c r="AF6" s="98">
        <v>289</v>
      </c>
      <c r="AG6" s="80">
        <f t="shared" si="6"/>
        <v>1093.865</v>
      </c>
      <c r="AI6" s="97">
        <f t="shared" ref="AI6:AI19" si="14">AI5+30</f>
        <v>30</v>
      </c>
      <c r="AJ6" s="101">
        <v>150.80000000000001</v>
      </c>
      <c r="AK6" s="120">
        <f t="shared" si="7"/>
        <v>66.052800000000019</v>
      </c>
      <c r="AL6" s="98">
        <v>291</v>
      </c>
      <c r="AM6" s="80">
        <f t="shared" si="8"/>
        <v>1101.4349999999999</v>
      </c>
      <c r="AO6" s="97">
        <f t="shared" ref="AO6:AO19" si="15">AO5+30</f>
        <v>30</v>
      </c>
      <c r="AP6" s="101">
        <v>83.9</v>
      </c>
      <c r="AQ6" s="120">
        <f t="shared" si="9"/>
        <v>28.856400000000004</v>
      </c>
      <c r="AR6" s="98">
        <v>284</v>
      </c>
      <c r="AS6" s="80">
        <f t="shared" si="10"/>
        <v>1074.94</v>
      </c>
    </row>
    <row r="7" spans="1:45" x14ac:dyDescent="0.25">
      <c r="B7" s="10"/>
      <c r="C7" s="9" t="s">
        <v>27</v>
      </c>
      <c r="D7" s="10"/>
      <c r="E7" s="9"/>
      <c r="F7" s="10"/>
      <c r="G7" s="9"/>
      <c r="H7" s="10">
        <v>20</v>
      </c>
      <c r="J7" s="164">
        <v>1</v>
      </c>
      <c r="K7" s="141">
        <f t="shared" si="0"/>
        <v>0</v>
      </c>
      <c r="L7" s="11"/>
      <c r="M7" s="11"/>
      <c r="N7" s="11"/>
      <c r="O7" s="11"/>
      <c r="Q7" s="101">
        <f t="shared" si="11"/>
        <v>60</v>
      </c>
      <c r="R7" s="101">
        <v>166.8</v>
      </c>
      <c r="S7" s="120">
        <f t="shared" si="1"/>
        <v>74.94880000000002</v>
      </c>
      <c r="T7" s="98">
        <v>284</v>
      </c>
      <c r="U7" s="80">
        <f t="shared" si="2"/>
        <v>1074.94</v>
      </c>
      <c r="V7" s="4"/>
      <c r="W7" s="97">
        <f t="shared" si="12"/>
        <v>60</v>
      </c>
      <c r="X7" s="101">
        <v>161.69999999999999</v>
      </c>
      <c r="Y7" s="120">
        <f t="shared" si="3"/>
        <v>72.113200000000006</v>
      </c>
      <c r="Z7" s="98">
        <v>295</v>
      </c>
      <c r="AA7" s="80">
        <f t="shared" si="4"/>
        <v>1116.575</v>
      </c>
      <c r="AC7" s="97">
        <f t="shared" si="13"/>
        <v>60</v>
      </c>
      <c r="AD7" s="101">
        <v>156.19999999999999</v>
      </c>
      <c r="AE7" s="120">
        <f t="shared" si="5"/>
        <v>69.055199999999999</v>
      </c>
      <c r="AF7" s="98">
        <v>291</v>
      </c>
      <c r="AG7" s="80">
        <f t="shared" si="6"/>
        <v>1101.4349999999999</v>
      </c>
      <c r="AI7" s="97">
        <f t="shared" si="14"/>
        <v>60</v>
      </c>
      <c r="AJ7" s="101">
        <v>150.9</v>
      </c>
      <c r="AK7" s="120">
        <f t="shared" si="7"/>
        <v>66.108400000000003</v>
      </c>
      <c r="AL7" s="98">
        <v>286</v>
      </c>
      <c r="AM7" s="80">
        <f t="shared" si="8"/>
        <v>1082.51</v>
      </c>
      <c r="AO7" s="97">
        <f t="shared" si="15"/>
        <v>60</v>
      </c>
      <c r="AP7" s="101">
        <v>83.9</v>
      </c>
      <c r="AQ7" s="120">
        <f t="shared" si="9"/>
        <v>28.856400000000004</v>
      </c>
      <c r="AR7" s="98">
        <v>287</v>
      </c>
      <c r="AS7" s="80">
        <f t="shared" si="10"/>
        <v>1086.2950000000001</v>
      </c>
    </row>
    <row r="8" spans="1:45" x14ac:dyDescent="0.25">
      <c r="B8" s="10"/>
      <c r="C8" s="9" t="s">
        <v>28</v>
      </c>
      <c r="D8" s="10"/>
      <c r="E8" s="9"/>
      <c r="F8" s="10"/>
      <c r="G8" s="9"/>
      <c r="H8" s="10">
        <v>30</v>
      </c>
      <c r="J8" s="164">
        <v>0.2</v>
      </c>
      <c r="K8" s="141">
        <f t="shared" si="0"/>
        <v>-0.69897000433601875</v>
      </c>
      <c r="L8" s="11"/>
      <c r="M8" s="11"/>
      <c r="N8" s="11"/>
      <c r="O8" s="11"/>
      <c r="Q8" s="101">
        <f t="shared" si="11"/>
        <v>90</v>
      </c>
      <c r="R8" s="101">
        <v>166.8</v>
      </c>
      <c r="S8" s="120">
        <f t="shared" si="1"/>
        <v>74.94880000000002</v>
      </c>
      <c r="T8" s="98">
        <v>287</v>
      </c>
      <c r="U8" s="80">
        <f t="shared" si="2"/>
        <v>1086.2950000000001</v>
      </c>
      <c r="V8" s="4"/>
      <c r="W8" s="97">
        <f t="shared" si="12"/>
        <v>90</v>
      </c>
      <c r="X8" s="101">
        <v>161.69999999999999</v>
      </c>
      <c r="Y8" s="120">
        <f t="shared" si="3"/>
        <v>72.113200000000006</v>
      </c>
      <c r="Z8" s="98">
        <v>291</v>
      </c>
      <c r="AA8" s="80">
        <f t="shared" si="4"/>
        <v>1101.4349999999999</v>
      </c>
      <c r="AC8" s="97">
        <f t="shared" si="13"/>
        <v>90</v>
      </c>
      <c r="AD8" s="101">
        <v>156.19999999999999</v>
      </c>
      <c r="AE8" s="120">
        <f t="shared" si="5"/>
        <v>69.055199999999999</v>
      </c>
      <c r="AF8" s="98">
        <v>293</v>
      </c>
      <c r="AG8" s="80">
        <f t="shared" si="6"/>
        <v>1109.0050000000001</v>
      </c>
      <c r="AI8" s="97">
        <f t="shared" si="14"/>
        <v>90</v>
      </c>
      <c r="AJ8" s="101">
        <v>150.69999999999999</v>
      </c>
      <c r="AK8" s="120">
        <f t="shared" si="7"/>
        <v>65.997200000000007</v>
      </c>
      <c r="AL8" s="98">
        <v>284</v>
      </c>
      <c r="AM8" s="80">
        <f t="shared" si="8"/>
        <v>1074.94</v>
      </c>
      <c r="AO8" s="97">
        <f t="shared" si="15"/>
        <v>90</v>
      </c>
      <c r="AP8" s="101">
        <v>83.5</v>
      </c>
      <c r="AQ8" s="120">
        <f t="shared" si="9"/>
        <v>28.634000000000004</v>
      </c>
      <c r="AR8" s="98">
        <v>285</v>
      </c>
      <c r="AS8" s="80">
        <f t="shared" si="10"/>
        <v>1078.7250000000001</v>
      </c>
    </row>
    <row r="9" spans="1:45" x14ac:dyDescent="0.25">
      <c r="B9" s="10"/>
      <c r="C9" s="9" t="s">
        <v>29</v>
      </c>
      <c r="D9" s="10"/>
      <c r="E9" s="9"/>
      <c r="F9" s="10"/>
      <c r="G9" s="9"/>
      <c r="H9" s="10">
        <v>40</v>
      </c>
      <c r="J9" s="164">
        <v>2</v>
      </c>
      <c r="K9" s="141">
        <f t="shared" si="0"/>
        <v>0.3010299956639812</v>
      </c>
      <c r="L9" s="11"/>
      <c r="M9" s="11"/>
      <c r="N9" s="11"/>
      <c r="O9" s="11"/>
      <c r="Q9" s="101">
        <f t="shared" si="11"/>
        <v>120</v>
      </c>
      <c r="R9" s="101">
        <v>166.7</v>
      </c>
      <c r="S9" s="120">
        <f t="shared" si="1"/>
        <v>74.893200000000007</v>
      </c>
      <c r="T9" s="98">
        <v>286</v>
      </c>
      <c r="U9" s="80">
        <f t="shared" si="2"/>
        <v>1082.51</v>
      </c>
      <c r="V9" s="4"/>
      <c r="W9" s="97">
        <f t="shared" si="12"/>
        <v>120</v>
      </c>
      <c r="X9" s="101">
        <v>161.69999999999999</v>
      </c>
      <c r="Y9" s="120">
        <f t="shared" si="3"/>
        <v>72.113200000000006</v>
      </c>
      <c r="Z9" s="98">
        <v>293</v>
      </c>
      <c r="AA9" s="80">
        <f t="shared" si="4"/>
        <v>1109.0050000000001</v>
      </c>
      <c r="AC9" s="97">
        <f t="shared" si="13"/>
        <v>120</v>
      </c>
      <c r="AD9" s="101">
        <v>156.1</v>
      </c>
      <c r="AE9" s="120">
        <f t="shared" si="5"/>
        <v>68.999600000000001</v>
      </c>
      <c r="AF9" s="98">
        <v>293</v>
      </c>
      <c r="AG9" s="80">
        <f t="shared" si="6"/>
        <v>1109.0050000000001</v>
      </c>
      <c r="AI9" s="97">
        <f t="shared" si="14"/>
        <v>120</v>
      </c>
      <c r="AJ9" s="101">
        <v>150.80000000000001</v>
      </c>
      <c r="AK9" s="120">
        <f t="shared" si="7"/>
        <v>66.052800000000019</v>
      </c>
      <c r="AL9" s="98">
        <v>291</v>
      </c>
      <c r="AM9" s="80">
        <f t="shared" si="8"/>
        <v>1101.4349999999999</v>
      </c>
      <c r="AO9" s="97">
        <f t="shared" si="15"/>
        <v>120</v>
      </c>
      <c r="AP9" s="101">
        <v>83.4</v>
      </c>
      <c r="AQ9" s="120">
        <f t="shared" si="9"/>
        <v>28.578400000000006</v>
      </c>
      <c r="AR9" s="98">
        <v>287</v>
      </c>
      <c r="AS9" s="80">
        <f t="shared" si="10"/>
        <v>1086.2950000000001</v>
      </c>
    </row>
    <row r="10" spans="1:45" ht="15.75" thickBot="1" x14ac:dyDescent="0.3">
      <c r="B10" s="13"/>
      <c r="C10" s="14" t="s">
        <v>30</v>
      </c>
      <c r="D10" s="13"/>
      <c r="E10" s="14"/>
      <c r="F10" s="13"/>
      <c r="G10" s="14"/>
      <c r="H10" s="13">
        <v>50</v>
      </c>
      <c r="J10" s="165">
        <v>0.44444444444444442</v>
      </c>
      <c r="K10" s="142">
        <f t="shared" si="0"/>
        <v>-0.35218251811136253</v>
      </c>
      <c r="L10" s="15"/>
      <c r="M10" s="15"/>
      <c r="N10" s="15"/>
      <c r="O10" s="15"/>
      <c r="Q10" s="101">
        <f t="shared" si="11"/>
        <v>150</v>
      </c>
      <c r="R10" s="101">
        <v>166.7</v>
      </c>
      <c r="S10" s="120">
        <f t="shared" si="1"/>
        <v>74.893200000000007</v>
      </c>
      <c r="T10" s="98">
        <v>292</v>
      </c>
      <c r="U10" s="80">
        <f t="shared" si="2"/>
        <v>1105.22</v>
      </c>
      <c r="V10" s="4"/>
      <c r="W10" s="97">
        <f t="shared" si="12"/>
        <v>150</v>
      </c>
      <c r="X10" s="101">
        <v>161.69999999999999</v>
      </c>
      <c r="Y10" s="120">
        <f t="shared" si="3"/>
        <v>72.113200000000006</v>
      </c>
      <c r="Z10" s="98">
        <v>294</v>
      </c>
      <c r="AA10" s="80">
        <f t="shared" si="4"/>
        <v>1112.79</v>
      </c>
      <c r="AC10" s="97">
        <f t="shared" si="13"/>
        <v>150</v>
      </c>
      <c r="AD10" s="101">
        <v>156.30000000000001</v>
      </c>
      <c r="AE10" s="120">
        <f t="shared" si="5"/>
        <v>69.110800000000012</v>
      </c>
      <c r="AF10" s="98">
        <v>287</v>
      </c>
      <c r="AG10" s="80">
        <f t="shared" si="6"/>
        <v>1086.2950000000001</v>
      </c>
      <c r="AI10" s="97">
        <f t="shared" si="14"/>
        <v>150</v>
      </c>
      <c r="AJ10" s="101">
        <v>150.80000000000001</v>
      </c>
      <c r="AK10" s="120">
        <f t="shared" si="7"/>
        <v>66.052800000000019</v>
      </c>
      <c r="AL10" s="98">
        <v>290</v>
      </c>
      <c r="AM10" s="80">
        <f t="shared" si="8"/>
        <v>1097.6500000000001</v>
      </c>
      <c r="AO10" s="97">
        <f t="shared" si="15"/>
        <v>150</v>
      </c>
      <c r="AP10" s="101">
        <v>83.3</v>
      </c>
      <c r="AQ10" s="120">
        <f t="shared" si="9"/>
        <v>28.5228</v>
      </c>
      <c r="AR10" s="98">
        <v>287</v>
      </c>
      <c r="AS10" s="80">
        <f t="shared" si="10"/>
        <v>1086.2950000000001</v>
      </c>
    </row>
    <row r="11" spans="1:45" ht="15.75" thickBot="1" x14ac:dyDescent="0.3">
      <c r="B11" s="16"/>
      <c r="C11" s="16"/>
      <c r="D11" s="16"/>
      <c r="E11" s="16"/>
      <c r="F11" s="16"/>
      <c r="G11" s="16"/>
      <c r="H11" s="16"/>
      <c r="J11" s="17"/>
      <c r="K11" s="17"/>
      <c r="L11" s="17"/>
      <c r="M11" s="17"/>
      <c r="N11" s="17"/>
      <c r="O11" s="17"/>
      <c r="Q11" s="101">
        <f t="shared" si="11"/>
        <v>180</v>
      </c>
      <c r="R11" s="101">
        <v>166.8</v>
      </c>
      <c r="S11" s="120">
        <f t="shared" si="1"/>
        <v>74.94880000000002</v>
      </c>
      <c r="T11" s="98">
        <v>284</v>
      </c>
      <c r="U11" s="80">
        <f t="shared" si="2"/>
        <v>1074.94</v>
      </c>
      <c r="V11" s="4"/>
      <c r="W11" s="97">
        <f t="shared" si="12"/>
        <v>180</v>
      </c>
      <c r="X11" s="101">
        <v>161.6</v>
      </c>
      <c r="Y11" s="120">
        <f t="shared" si="3"/>
        <v>72.057600000000008</v>
      </c>
      <c r="Z11" s="98">
        <v>291</v>
      </c>
      <c r="AA11" s="80">
        <f t="shared" si="4"/>
        <v>1101.4349999999999</v>
      </c>
      <c r="AC11" s="97">
        <f t="shared" si="13"/>
        <v>180</v>
      </c>
      <c r="AD11" s="101">
        <v>156.1</v>
      </c>
      <c r="AE11" s="120">
        <f t="shared" si="5"/>
        <v>68.999600000000001</v>
      </c>
      <c r="AF11" s="98">
        <v>284</v>
      </c>
      <c r="AG11" s="80">
        <f t="shared" si="6"/>
        <v>1074.94</v>
      </c>
      <c r="AI11" s="97">
        <f t="shared" si="14"/>
        <v>180</v>
      </c>
      <c r="AJ11" s="101">
        <v>150.9</v>
      </c>
      <c r="AK11" s="120">
        <f t="shared" si="7"/>
        <v>66.108400000000003</v>
      </c>
      <c r="AL11" s="98">
        <v>287</v>
      </c>
      <c r="AM11" s="80">
        <f t="shared" si="8"/>
        <v>1086.2950000000001</v>
      </c>
      <c r="AO11" s="97">
        <f t="shared" si="15"/>
        <v>180</v>
      </c>
      <c r="AP11" s="101">
        <v>83.3</v>
      </c>
      <c r="AQ11" s="120">
        <f t="shared" si="9"/>
        <v>28.5228</v>
      </c>
      <c r="AR11" s="98">
        <v>286</v>
      </c>
      <c r="AS11" s="80">
        <f t="shared" si="10"/>
        <v>1082.51</v>
      </c>
    </row>
    <row r="12" spans="1:45" ht="15.75" thickBot="1" x14ac:dyDescent="0.3">
      <c r="B12" s="18" t="s">
        <v>18</v>
      </c>
      <c r="C12" s="5" t="s">
        <v>19</v>
      </c>
      <c r="D12" s="6" t="s">
        <v>20</v>
      </c>
      <c r="E12" s="5" t="s">
        <v>21</v>
      </c>
      <c r="F12" s="6" t="s">
        <v>22</v>
      </c>
      <c r="G12" s="5" t="s">
        <v>23</v>
      </c>
      <c r="H12" s="19" t="s">
        <v>24</v>
      </c>
      <c r="J12" s="7" t="s">
        <v>57</v>
      </c>
      <c r="K12" s="7" t="s">
        <v>240</v>
      </c>
      <c r="L12" s="7" t="s">
        <v>220</v>
      </c>
      <c r="M12" s="7" t="s">
        <v>239</v>
      </c>
      <c r="N12" s="7"/>
      <c r="O12" s="7"/>
      <c r="Q12" s="101">
        <f t="shared" si="11"/>
        <v>210</v>
      </c>
      <c r="R12" s="101">
        <v>166.9</v>
      </c>
      <c r="S12" s="120">
        <f t="shared" si="1"/>
        <v>75.004400000000004</v>
      </c>
      <c r="T12" s="98">
        <v>294</v>
      </c>
      <c r="U12" s="80">
        <f t="shared" si="2"/>
        <v>1112.79</v>
      </c>
      <c r="V12" s="4"/>
      <c r="W12" s="97">
        <f t="shared" si="12"/>
        <v>210</v>
      </c>
      <c r="X12" s="101">
        <v>161.5</v>
      </c>
      <c r="Y12" s="120">
        <f t="shared" si="3"/>
        <v>72.00200000000001</v>
      </c>
      <c r="Z12" s="98">
        <v>293</v>
      </c>
      <c r="AA12" s="80">
        <f t="shared" si="4"/>
        <v>1109.0050000000001</v>
      </c>
      <c r="AC12" s="97">
        <f t="shared" si="13"/>
        <v>210</v>
      </c>
      <c r="AD12" s="101">
        <v>156.30000000000001</v>
      </c>
      <c r="AE12" s="120">
        <f t="shared" si="5"/>
        <v>69.110800000000012</v>
      </c>
      <c r="AF12" s="98">
        <v>287</v>
      </c>
      <c r="AG12" s="80">
        <f t="shared" si="6"/>
        <v>1086.2950000000001</v>
      </c>
      <c r="AI12" s="97">
        <f t="shared" si="14"/>
        <v>210</v>
      </c>
      <c r="AJ12" s="101">
        <v>150.9</v>
      </c>
      <c r="AK12" s="120">
        <f t="shared" si="7"/>
        <v>66.108400000000003</v>
      </c>
      <c r="AL12" s="98">
        <v>285</v>
      </c>
      <c r="AM12" s="80">
        <f t="shared" si="8"/>
        <v>1078.7250000000001</v>
      </c>
      <c r="AO12" s="97">
        <f t="shared" si="15"/>
        <v>210</v>
      </c>
      <c r="AP12" s="101">
        <v>83.1</v>
      </c>
      <c r="AQ12" s="120">
        <f t="shared" si="9"/>
        <v>28.4116</v>
      </c>
      <c r="AR12" s="98">
        <v>284</v>
      </c>
      <c r="AS12" s="80">
        <f t="shared" si="10"/>
        <v>1074.94</v>
      </c>
    </row>
    <row r="13" spans="1:45" x14ac:dyDescent="0.25">
      <c r="B13" s="8">
        <v>42118</v>
      </c>
      <c r="C13" s="10" t="s">
        <v>31</v>
      </c>
      <c r="D13" s="9">
        <v>2</v>
      </c>
      <c r="E13" s="10">
        <v>72</v>
      </c>
      <c r="F13" s="9">
        <v>1065</v>
      </c>
      <c r="G13" s="10">
        <v>5</v>
      </c>
      <c r="H13" s="32">
        <v>0</v>
      </c>
      <c r="J13" s="11">
        <v>79</v>
      </c>
      <c r="K13" s="141">
        <f t="shared" ref="K13:K18" si="16">LOG10(J13)</f>
        <v>1.8976270912904414</v>
      </c>
      <c r="L13" s="140">
        <f>AVERAGE(K13:K18)</f>
        <v>1.8137208980812363</v>
      </c>
      <c r="M13" s="140">
        <f>_xlfn.STDEV.S(K13:K18)</f>
        <v>0.10515972404776548</v>
      </c>
      <c r="N13" s="140">
        <f>$L$37-L13</f>
        <v>2.207151310821768</v>
      </c>
      <c r="O13" s="140">
        <f>M13+$M$37</f>
        <v>0.20491756306660219</v>
      </c>
      <c r="P13">
        <f>$P$37-LOG10(AVERAGE(J13:J18))</f>
        <v>2.206373812723843</v>
      </c>
      <c r="Q13" s="101">
        <f t="shared" si="11"/>
        <v>240</v>
      </c>
      <c r="R13" s="101">
        <v>167</v>
      </c>
      <c r="S13" s="120">
        <f t="shared" si="1"/>
        <v>75.06</v>
      </c>
      <c r="T13" s="98">
        <v>294</v>
      </c>
      <c r="U13" s="80">
        <f t="shared" si="2"/>
        <v>1112.79</v>
      </c>
      <c r="V13" s="4"/>
      <c r="W13" s="97">
        <f t="shared" si="12"/>
        <v>240</v>
      </c>
      <c r="X13" s="101"/>
      <c r="Y13" s="98"/>
      <c r="Z13" s="98"/>
      <c r="AA13" s="101"/>
      <c r="AC13" s="97">
        <f t="shared" si="13"/>
        <v>240</v>
      </c>
      <c r="AD13" s="101"/>
      <c r="AE13" s="98"/>
      <c r="AF13" s="98"/>
      <c r="AG13" s="101"/>
      <c r="AI13" s="97">
        <f t="shared" si="14"/>
        <v>240</v>
      </c>
      <c r="AJ13" s="101"/>
      <c r="AK13" s="98"/>
      <c r="AL13" s="98"/>
      <c r="AM13" s="101"/>
      <c r="AO13" s="97">
        <f t="shared" si="15"/>
        <v>240</v>
      </c>
      <c r="AP13" s="101"/>
      <c r="AQ13" s="98"/>
      <c r="AR13" s="98"/>
      <c r="AS13" s="101"/>
    </row>
    <row r="14" spans="1:45" ht="15.75" thickBot="1" x14ac:dyDescent="0.3">
      <c r="B14" s="22"/>
      <c r="C14" s="10" t="s">
        <v>32</v>
      </c>
      <c r="D14" s="9"/>
      <c r="E14" s="10"/>
      <c r="F14" s="9"/>
      <c r="G14" s="10"/>
      <c r="H14" s="21">
        <v>10</v>
      </c>
      <c r="J14" s="11">
        <v>80</v>
      </c>
      <c r="K14" s="141">
        <f t="shared" si="16"/>
        <v>1.9030899869919435</v>
      </c>
      <c r="L14" s="11"/>
      <c r="M14" s="11"/>
      <c r="N14" s="11"/>
      <c r="O14" s="11"/>
      <c r="Q14" s="101">
        <f t="shared" si="11"/>
        <v>270</v>
      </c>
      <c r="R14" s="87"/>
      <c r="S14" s="93"/>
      <c r="T14" s="93"/>
      <c r="U14" s="87"/>
      <c r="V14" s="4"/>
      <c r="W14" s="99">
        <f t="shared" si="12"/>
        <v>270</v>
      </c>
      <c r="X14" s="87"/>
      <c r="Y14" s="93"/>
      <c r="Z14" s="93"/>
      <c r="AA14" s="87"/>
      <c r="AC14" s="99">
        <f t="shared" si="13"/>
        <v>270</v>
      </c>
      <c r="AD14" s="87"/>
      <c r="AE14" s="93"/>
      <c r="AF14" s="93"/>
      <c r="AG14" s="87"/>
      <c r="AI14" s="99">
        <f t="shared" si="14"/>
        <v>270</v>
      </c>
      <c r="AJ14" s="87"/>
      <c r="AK14" s="93"/>
      <c r="AL14" s="93"/>
      <c r="AM14" s="87"/>
      <c r="AO14" s="99">
        <f t="shared" si="15"/>
        <v>270</v>
      </c>
      <c r="AP14" s="105"/>
      <c r="AQ14" s="112"/>
      <c r="AR14" s="93"/>
      <c r="AS14" s="87"/>
    </row>
    <row r="15" spans="1:45" x14ac:dyDescent="0.25">
      <c r="B15" s="22"/>
      <c r="C15" s="10" t="s">
        <v>33</v>
      </c>
      <c r="D15" s="9"/>
      <c r="E15" s="10"/>
      <c r="F15" s="9"/>
      <c r="G15" s="10"/>
      <c r="H15" s="21">
        <v>20</v>
      </c>
      <c r="J15" s="11">
        <v>65</v>
      </c>
      <c r="K15" s="141">
        <f t="shared" si="16"/>
        <v>1.8129133566428555</v>
      </c>
      <c r="L15" s="11"/>
      <c r="M15" s="11"/>
      <c r="N15" s="11"/>
      <c r="O15" s="11"/>
      <c r="Q15" s="101">
        <f t="shared" si="11"/>
        <v>300</v>
      </c>
      <c r="R15" s="87"/>
      <c r="S15" s="133" t="s">
        <v>220</v>
      </c>
      <c r="T15" s="93"/>
      <c r="U15" s="133" t="s">
        <v>220</v>
      </c>
      <c r="V15" s="4"/>
      <c r="W15" s="99">
        <f t="shared" si="12"/>
        <v>300</v>
      </c>
      <c r="X15" s="87"/>
      <c r="Y15" s="133" t="s">
        <v>220</v>
      </c>
      <c r="Z15" s="93"/>
      <c r="AA15" s="133" t="s">
        <v>220</v>
      </c>
      <c r="AC15" s="99">
        <f t="shared" si="13"/>
        <v>300</v>
      </c>
      <c r="AD15" s="89"/>
      <c r="AE15" s="133" t="s">
        <v>220</v>
      </c>
      <c r="AF15" s="93"/>
      <c r="AG15" s="133" t="s">
        <v>220</v>
      </c>
      <c r="AI15" s="99">
        <f t="shared" si="14"/>
        <v>300</v>
      </c>
      <c r="AJ15" s="89"/>
      <c r="AK15" s="133" t="s">
        <v>220</v>
      </c>
      <c r="AL15" s="93"/>
      <c r="AM15" s="133" t="s">
        <v>220</v>
      </c>
      <c r="AO15" s="99">
        <f t="shared" si="15"/>
        <v>300</v>
      </c>
      <c r="AP15" s="87"/>
      <c r="AQ15" s="133" t="s">
        <v>220</v>
      </c>
      <c r="AR15" s="93"/>
      <c r="AS15" s="133" t="s">
        <v>220</v>
      </c>
    </row>
    <row r="16" spans="1:45" ht="15.75" thickBot="1" x14ac:dyDescent="0.3">
      <c r="B16" s="22"/>
      <c r="C16" s="10" t="s">
        <v>34</v>
      </c>
      <c r="D16" s="9"/>
      <c r="E16" s="10"/>
      <c r="F16" s="9"/>
      <c r="G16" s="10"/>
      <c r="H16" s="21">
        <v>30</v>
      </c>
      <c r="J16" s="11">
        <v>50</v>
      </c>
      <c r="K16" s="141">
        <f t="shared" si="16"/>
        <v>1.6989700043360187</v>
      </c>
      <c r="L16" s="11"/>
      <c r="M16" s="11"/>
      <c r="N16" s="11"/>
      <c r="O16" s="11"/>
      <c r="Q16" s="101">
        <f t="shared" si="11"/>
        <v>330</v>
      </c>
      <c r="R16" s="87"/>
      <c r="S16" s="135">
        <f>AVERAGE(S5:S13)</f>
        <v>74.967333333333343</v>
      </c>
      <c r="T16" s="93"/>
      <c r="U16" s="134">
        <f>AVERAGE(U5:U13)</f>
        <v>1093.0238888888889</v>
      </c>
      <c r="V16" s="4"/>
      <c r="W16" s="99">
        <f t="shared" si="12"/>
        <v>330</v>
      </c>
      <c r="X16" s="87"/>
      <c r="Y16" s="135">
        <f>AVERAGE(Y5:Y13)</f>
        <v>72.085399999999993</v>
      </c>
      <c r="Z16" s="93"/>
      <c r="AA16" s="134">
        <f>AVERAGE(AA5:AA13)</f>
        <v>1107.5856250000002</v>
      </c>
      <c r="AC16" s="99">
        <f t="shared" si="13"/>
        <v>330</v>
      </c>
      <c r="AD16" s="87"/>
      <c r="AE16" s="135">
        <f>AVERAGE(AE5:AE13)</f>
        <v>69.04825000000001</v>
      </c>
      <c r="AF16" s="93"/>
      <c r="AG16" s="134">
        <f>AVERAGE(AG5:AG13)</f>
        <v>1096.2306249999999</v>
      </c>
      <c r="AI16" s="99">
        <f t="shared" si="14"/>
        <v>330</v>
      </c>
      <c r="AJ16" s="87"/>
      <c r="AK16" s="135">
        <f>AVERAGE(AK5:AK13)</f>
        <v>66.066700000000026</v>
      </c>
      <c r="AL16" s="93"/>
      <c r="AM16" s="134">
        <f>AVERAGE(AM5:AM13)</f>
        <v>1086.7681250000001</v>
      </c>
      <c r="AO16" s="99">
        <f t="shared" si="15"/>
        <v>330</v>
      </c>
      <c r="AP16" s="87"/>
      <c r="AQ16" s="135">
        <f>AVERAGE(AQ5:AQ13)</f>
        <v>28.661799999999999</v>
      </c>
      <c r="AR16" s="93"/>
      <c r="AS16" s="134">
        <f>AVERAGE(AS5:AS13)</f>
        <v>1081.56375</v>
      </c>
    </row>
    <row r="17" spans="2:45" x14ac:dyDescent="0.25">
      <c r="B17" s="22"/>
      <c r="C17" s="10" t="s">
        <v>35</v>
      </c>
      <c r="D17" s="9"/>
      <c r="E17" s="10"/>
      <c r="F17" s="9"/>
      <c r="G17" s="10"/>
      <c r="H17" s="21">
        <v>40</v>
      </c>
      <c r="J17" s="11">
        <v>79</v>
      </c>
      <c r="K17" s="141">
        <f t="shared" si="16"/>
        <v>1.8976270912904414</v>
      </c>
      <c r="L17" s="11"/>
      <c r="M17" s="11"/>
      <c r="N17" s="11"/>
      <c r="O17" s="11"/>
      <c r="Q17" s="101">
        <f t="shared" si="11"/>
        <v>360</v>
      </c>
      <c r="R17" s="87"/>
      <c r="S17" s="93" t="s">
        <v>239</v>
      </c>
      <c r="T17" s="93"/>
      <c r="U17" s="93" t="s">
        <v>239</v>
      </c>
      <c r="V17" s="4"/>
      <c r="W17" s="99">
        <f t="shared" si="12"/>
        <v>360</v>
      </c>
      <c r="X17" s="87"/>
      <c r="Y17" s="93" t="s">
        <v>239</v>
      </c>
      <c r="Z17" s="93"/>
      <c r="AA17" s="93" t="s">
        <v>239</v>
      </c>
      <c r="AC17" s="99">
        <f t="shared" si="13"/>
        <v>360</v>
      </c>
      <c r="AD17" s="87"/>
      <c r="AE17" s="93" t="s">
        <v>239</v>
      </c>
      <c r="AF17" s="93"/>
      <c r="AG17" s="93" t="s">
        <v>239</v>
      </c>
      <c r="AI17" s="99">
        <f t="shared" si="14"/>
        <v>360</v>
      </c>
      <c r="AJ17" s="87"/>
      <c r="AK17" s="93" t="s">
        <v>239</v>
      </c>
      <c r="AL17" s="93"/>
      <c r="AM17" s="93" t="s">
        <v>239</v>
      </c>
      <c r="AO17" s="99">
        <f t="shared" si="15"/>
        <v>360</v>
      </c>
      <c r="AP17" s="87"/>
      <c r="AQ17" s="93" t="s">
        <v>239</v>
      </c>
      <c r="AR17" s="93"/>
      <c r="AS17" s="93" t="s">
        <v>239</v>
      </c>
    </row>
    <row r="18" spans="2:45" ht="15.75" thickBot="1" x14ac:dyDescent="0.3">
      <c r="B18" s="23"/>
      <c r="C18" s="13" t="s">
        <v>36</v>
      </c>
      <c r="D18" s="14"/>
      <c r="E18" s="13"/>
      <c r="F18" s="14"/>
      <c r="G18" s="13"/>
      <c r="H18" s="24">
        <v>50</v>
      </c>
      <c r="J18" s="15">
        <v>47</v>
      </c>
      <c r="K18" s="142">
        <f t="shared" si="16"/>
        <v>1.6720978579357175</v>
      </c>
      <c r="L18" s="15"/>
      <c r="M18" s="15"/>
      <c r="N18" s="15"/>
      <c r="O18" s="11"/>
      <c r="Q18" s="101">
        <f t="shared" si="11"/>
        <v>390</v>
      </c>
      <c r="R18" s="87"/>
      <c r="S18" s="93">
        <f>_xlfn.STDEV.S(S5:S13)</f>
        <v>5.5599999999996548E-2</v>
      </c>
      <c r="T18" s="93"/>
      <c r="U18" s="93">
        <f>_xlfn.STDEV.S(U5:U13)</f>
        <v>14.874830624619239</v>
      </c>
      <c r="V18" s="4"/>
      <c r="W18" s="99">
        <f t="shared" si="12"/>
        <v>390</v>
      </c>
      <c r="X18" s="87"/>
      <c r="Y18" s="93">
        <f>_xlfn.STDEV.S(Y5:Y13)</f>
        <v>4.2029649398624795E-2</v>
      </c>
      <c r="Z18" s="93"/>
      <c r="AA18" s="93">
        <f>_xlfn.STDEV.S(AA5:AA13)</f>
        <v>5.3288483327611917</v>
      </c>
      <c r="AC18" s="99">
        <f t="shared" si="13"/>
        <v>390</v>
      </c>
      <c r="AD18" s="87"/>
      <c r="AE18" s="93">
        <f>_xlfn.STDEV.S(AE5:AE13)</f>
        <v>4.6399476598037254E-2</v>
      </c>
      <c r="AF18" s="93"/>
      <c r="AG18" s="93">
        <f>_xlfn.STDEV.S(AG5:AG13)</f>
        <v>12.944715810349591</v>
      </c>
      <c r="AI18" s="99">
        <f t="shared" si="14"/>
        <v>390</v>
      </c>
      <c r="AJ18" s="87"/>
      <c r="AK18" s="93">
        <f>_xlfn.STDEV.S(AK5:AK13)</f>
        <v>3.9315137033967988E-2</v>
      </c>
      <c r="AL18" s="93"/>
      <c r="AM18" s="93">
        <f>_xlfn.STDEV.S(AM5:AM13)</f>
        <v>12.043796250559847</v>
      </c>
      <c r="AO18" s="99">
        <f t="shared" si="15"/>
        <v>390</v>
      </c>
      <c r="AP18" s="87"/>
      <c r="AQ18" s="93">
        <f>_xlfn.STDEV.S(AQ5:AQ13)</f>
        <v>0.18796230625162338</v>
      </c>
      <c r="AR18" s="93"/>
      <c r="AS18" s="93">
        <f>_xlfn.STDEV.S(AS5:AS13)</f>
        <v>4.8513854795747307</v>
      </c>
    </row>
    <row r="19" spans="2:45" ht="15.75" thickBot="1" x14ac:dyDescent="0.3">
      <c r="B19" s="16"/>
      <c r="C19" s="16"/>
      <c r="D19" s="16"/>
      <c r="E19" s="16"/>
      <c r="F19" s="16"/>
      <c r="G19" s="16"/>
      <c r="H19" s="16"/>
      <c r="J19" s="17"/>
      <c r="K19" s="17"/>
      <c r="L19" s="17"/>
      <c r="M19" s="17"/>
      <c r="N19" s="17"/>
      <c r="O19" s="7"/>
      <c r="Q19" s="49">
        <f t="shared" si="11"/>
        <v>420</v>
      </c>
      <c r="R19" s="88"/>
      <c r="S19" s="94"/>
      <c r="T19" s="94"/>
      <c r="U19" s="88"/>
      <c r="V19" s="4"/>
      <c r="W19" s="100">
        <f t="shared" si="12"/>
        <v>420</v>
      </c>
      <c r="X19" s="88"/>
      <c r="Y19" s="94"/>
      <c r="Z19" s="94"/>
      <c r="AA19" s="88"/>
      <c r="AC19" s="100">
        <f t="shared" si="13"/>
        <v>420</v>
      </c>
      <c r="AD19" s="88"/>
      <c r="AE19" s="94"/>
      <c r="AF19" s="94"/>
      <c r="AG19" s="88"/>
      <c r="AI19" s="100">
        <f t="shared" si="14"/>
        <v>420</v>
      </c>
      <c r="AJ19" s="88"/>
      <c r="AK19" s="94"/>
      <c r="AL19" s="94"/>
      <c r="AM19" s="88"/>
      <c r="AO19" s="100">
        <f t="shared" si="15"/>
        <v>420</v>
      </c>
      <c r="AP19" s="88"/>
      <c r="AQ19" s="94"/>
      <c r="AR19" s="94"/>
      <c r="AS19" s="88"/>
    </row>
    <row r="20" spans="2:45" ht="19.5" thickBot="1" x14ac:dyDescent="0.35">
      <c r="B20" s="18" t="s">
        <v>18</v>
      </c>
      <c r="C20" s="5" t="s">
        <v>19</v>
      </c>
      <c r="D20" s="6" t="s">
        <v>20</v>
      </c>
      <c r="E20" s="5" t="s">
        <v>21</v>
      </c>
      <c r="F20" s="6" t="s">
        <v>22</v>
      </c>
      <c r="G20" s="5" t="s">
        <v>23</v>
      </c>
      <c r="H20" s="19" t="s">
        <v>24</v>
      </c>
      <c r="J20" s="7" t="s">
        <v>57</v>
      </c>
      <c r="K20" s="7" t="s">
        <v>240</v>
      </c>
      <c r="L20" s="7" t="s">
        <v>220</v>
      </c>
      <c r="M20" s="7" t="s">
        <v>239</v>
      </c>
      <c r="N20" s="7"/>
      <c r="O20" s="17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S20" s="139">
        <f>AVERAGE(AS16,AM16,AG16,AA16,U16)</f>
        <v>1093.0344027777778</v>
      </c>
    </row>
    <row r="21" spans="2:45" x14ac:dyDescent="0.25">
      <c r="B21" s="8">
        <v>42118</v>
      </c>
      <c r="C21" s="10" t="s">
        <v>37</v>
      </c>
      <c r="D21" s="9">
        <v>3</v>
      </c>
      <c r="E21" s="10">
        <v>69</v>
      </c>
      <c r="F21" s="9">
        <v>1065</v>
      </c>
      <c r="G21" s="10">
        <v>5</v>
      </c>
      <c r="H21" s="32">
        <v>0</v>
      </c>
      <c r="J21" s="11">
        <v>2030</v>
      </c>
      <c r="K21" s="141">
        <f t="shared" ref="K21:K26" si="17">LOG10(J21)</f>
        <v>3.307496037913213</v>
      </c>
      <c r="L21" s="140">
        <f>AVERAGE(K21:K26)</f>
        <v>3.2783133755467393</v>
      </c>
      <c r="M21" s="141">
        <f>_xlfn.STDEV.S(K21:K26)</f>
        <v>3.6093268328495534E-2</v>
      </c>
      <c r="N21" s="140">
        <f>$L$37-L21</f>
        <v>0.74255883335626471</v>
      </c>
      <c r="O21" s="148">
        <f>M21+$M$37</f>
        <v>0.13585110734733225</v>
      </c>
      <c r="P21">
        <f>$P$37-LOG10(AVERAGE(J21:J26))</f>
        <v>0.75076770014197614</v>
      </c>
      <c r="Q21" s="4" t="s">
        <v>205</v>
      </c>
      <c r="R21" s="4" t="s">
        <v>203</v>
      </c>
      <c r="S21" s="4"/>
      <c r="T21" s="4"/>
      <c r="U21" s="4"/>
      <c r="V21" s="4"/>
      <c r="W21" s="4" t="s">
        <v>205</v>
      </c>
      <c r="X21" s="4" t="s">
        <v>203</v>
      </c>
      <c r="Y21" s="4"/>
      <c r="Z21" s="4"/>
      <c r="AA21" s="4"/>
      <c r="AC21" s="4" t="s">
        <v>205</v>
      </c>
      <c r="AI21" s="4" t="s">
        <v>205</v>
      </c>
      <c r="AJ21">
        <v>22</v>
      </c>
      <c r="AO21" s="4" t="s">
        <v>205</v>
      </c>
      <c r="AP21">
        <v>21</v>
      </c>
    </row>
    <row r="22" spans="2:45" x14ac:dyDescent="0.25">
      <c r="B22" s="22"/>
      <c r="C22" s="10" t="s">
        <v>38</v>
      </c>
      <c r="D22" s="9"/>
      <c r="E22" s="10"/>
      <c r="F22" s="9"/>
      <c r="G22" s="10"/>
      <c r="H22" s="21">
        <v>10</v>
      </c>
      <c r="J22" s="11">
        <v>1610</v>
      </c>
      <c r="K22" s="141">
        <f t="shared" si="17"/>
        <v>3.2068258760318495</v>
      </c>
      <c r="L22" s="11"/>
      <c r="M22" s="11"/>
      <c r="N22" s="11"/>
      <c r="O22" s="11"/>
      <c r="Q22" s="4" t="s">
        <v>206</v>
      </c>
      <c r="R22" s="4" t="s">
        <v>204</v>
      </c>
      <c r="S22" s="4"/>
      <c r="T22" s="4"/>
      <c r="U22" s="4"/>
      <c r="V22" s="4"/>
      <c r="W22" s="4" t="s">
        <v>206</v>
      </c>
      <c r="X22" s="4" t="s">
        <v>204</v>
      </c>
      <c r="Y22" s="4"/>
      <c r="Z22" s="4"/>
      <c r="AA22" s="4"/>
      <c r="AC22" s="4" t="s">
        <v>206</v>
      </c>
      <c r="AI22" s="4" t="s">
        <v>206</v>
      </c>
      <c r="AJ22">
        <v>46</v>
      </c>
      <c r="AO22" s="4" t="s">
        <v>206</v>
      </c>
      <c r="AP22" s="95">
        <v>45</v>
      </c>
      <c r="AQ22" s="95"/>
    </row>
    <row r="23" spans="2:45" x14ac:dyDescent="0.25">
      <c r="B23" s="22"/>
      <c r="C23" s="10" t="s">
        <v>39</v>
      </c>
      <c r="D23" s="9"/>
      <c r="E23" s="10"/>
      <c r="F23" s="9"/>
      <c r="G23" s="10"/>
      <c r="H23" s="21">
        <v>20</v>
      </c>
      <c r="J23" s="11">
        <v>1930</v>
      </c>
      <c r="K23" s="141">
        <f t="shared" si="17"/>
        <v>3.2855573090077739</v>
      </c>
      <c r="L23" s="11"/>
      <c r="M23" s="11"/>
      <c r="N23" s="11"/>
      <c r="O23" s="11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45" x14ac:dyDescent="0.25">
      <c r="B24" s="22"/>
      <c r="C24" s="10" t="s">
        <v>40</v>
      </c>
      <c r="D24" s="9"/>
      <c r="E24" s="10"/>
      <c r="F24" s="9"/>
      <c r="G24" s="10"/>
      <c r="H24" s="21">
        <v>30</v>
      </c>
      <c r="J24" s="11">
        <v>1920</v>
      </c>
      <c r="K24" s="141">
        <f t="shared" si="17"/>
        <v>3.2833012287035497</v>
      </c>
      <c r="L24" s="11"/>
      <c r="M24" s="11"/>
      <c r="N24" s="11"/>
      <c r="O24" s="11"/>
    </row>
    <row r="25" spans="2:45" x14ac:dyDescent="0.25">
      <c r="B25" s="22"/>
      <c r="C25" s="10" t="s">
        <v>41</v>
      </c>
      <c r="D25" s="9"/>
      <c r="E25" s="10"/>
      <c r="F25" s="9"/>
      <c r="G25" s="10"/>
      <c r="H25" s="21">
        <v>40</v>
      </c>
      <c r="J25" s="11">
        <v>1980</v>
      </c>
      <c r="K25" s="141">
        <f t="shared" si="17"/>
        <v>3.2966651902615309</v>
      </c>
      <c r="L25" s="11"/>
      <c r="M25" s="11"/>
      <c r="N25" s="11"/>
      <c r="O25" s="11"/>
    </row>
    <row r="26" spans="2:45" ht="15.75" thickBot="1" x14ac:dyDescent="0.3">
      <c r="B26" s="23"/>
      <c r="C26" s="13" t="s">
        <v>42</v>
      </c>
      <c r="D26" s="14"/>
      <c r="E26" s="13"/>
      <c r="F26" s="14"/>
      <c r="G26" s="13"/>
      <c r="H26" s="24">
        <v>50</v>
      </c>
      <c r="J26" s="15">
        <v>1950</v>
      </c>
      <c r="K26" s="142">
        <f t="shared" si="17"/>
        <v>3.2900346113625178</v>
      </c>
      <c r="L26" s="15"/>
      <c r="M26" s="15"/>
      <c r="N26" s="15"/>
      <c r="O26" s="15"/>
    </row>
    <row r="27" spans="2:45" ht="15.75" thickBot="1" x14ac:dyDescent="0.3">
      <c r="B27" s="16"/>
      <c r="C27" s="16"/>
      <c r="D27" s="16"/>
      <c r="E27" s="16"/>
      <c r="F27" s="16"/>
      <c r="G27" s="16"/>
      <c r="H27" s="16"/>
      <c r="J27" s="17"/>
      <c r="K27" s="17"/>
      <c r="L27" s="17"/>
      <c r="M27" s="17"/>
      <c r="N27" s="17"/>
      <c r="O27" s="17"/>
    </row>
    <row r="28" spans="2:45" ht="15.75" thickBot="1" x14ac:dyDescent="0.3">
      <c r="B28" s="18" t="s">
        <v>18</v>
      </c>
      <c r="C28" s="5" t="s">
        <v>19</v>
      </c>
      <c r="D28" s="6" t="s">
        <v>20</v>
      </c>
      <c r="E28" s="5" t="s">
        <v>21</v>
      </c>
      <c r="F28" s="6" t="s">
        <v>22</v>
      </c>
      <c r="G28" s="5" t="s">
        <v>23</v>
      </c>
      <c r="H28" s="19" t="s">
        <v>24</v>
      </c>
      <c r="J28" s="7" t="s">
        <v>57</v>
      </c>
      <c r="K28" s="7" t="s">
        <v>240</v>
      </c>
      <c r="L28" s="7" t="s">
        <v>220</v>
      </c>
      <c r="M28" s="7" t="s">
        <v>239</v>
      </c>
      <c r="N28" s="7"/>
      <c r="O28" s="7"/>
    </row>
    <row r="29" spans="2:45" x14ac:dyDescent="0.25">
      <c r="B29" s="8">
        <v>42118</v>
      </c>
      <c r="C29" s="10" t="s">
        <v>43</v>
      </c>
      <c r="D29" s="9">
        <v>4</v>
      </c>
      <c r="E29" s="10">
        <v>66</v>
      </c>
      <c r="F29" s="9">
        <v>1065</v>
      </c>
      <c r="G29" s="10">
        <v>5</v>
      </c>
      <c r="H29" s="32">
        <v>0</v>
      </c>
      <c r="J29" s="11">
        <v>2800</v>
      </c>
      <c r="K29" s="141">
        <f t="shared" ref="K29:K34" si="18">LOG10(J29)</f>
        <v>3.4471580313422194</v>
      </c>
      <c r="L29" s="140">
        <f>AVERAGE(K29:K34)</f>
        <v>3.2159527672443304</v>
      </c>
      <c r="M29" s="140">
        <f>_xlfn.STDEV.S(K29:K34)</f>
        <v>0.15361542530372413</v>
      </c>
      <c r="N29" s="140">
        <f>$L$37-L29</f>
        <v>0.80491944165867357</v>
      </c>
      <c r="O29" s="140">
        <f>M29+$M$37</f>
        <v>0.2533732643225608</v>
      </c>
      <c r="P29">
        <f>$P$37-LOG10(AVERAGE(J29:J34))</f>
        <v>0.79140046475302483</v>
      </c>
    </row>
    <row r="30" spans="2:45" x14ac:dyDescent="0.25">
      <c r="B30" s="22"/>
      <c r="C30" s="10" t="s">
        <v>44</v>
      </c>
      <c r="D30" s="9"/>
      <c r="E30" s="10"/>
      <c r="F30" s="9"/>
      <c r="G30" s="10"/>
      <c r="H30" s="21">
        <v>10</v>
      </c>
      <c r="J30" s="11">
        <v>2100</v>
      </c>
      <c r="K30" s="141">
        <f t="shared" si="18"/>
        <v>3.3222192947339191</v>
      </c>
      <c r="L30" s="11"/>
      <c r="M30" s="11"/>
      <c r="N30" s="11"/>
      <c r="O30" s="11"/>
    </row>
    <row r="31" spans="2:45" x14ac:dyDescent="0.25">
      <c r="B31" s="22"/>
      <c r="C31" s="10" t="s">
        <v>45</v>
      </c>
      <c r="D31" s="9"/>
      <c r="E31" s="10"/>
      <c r="F31" s="9"/>
      <c r="G31" s="10"/>
      <c r="H31" s="21">
        <v>20</v>
      </c>
      <c r="J31" s="11">
        <v>1500</v>
      </c>
      <c r="K31" s="141">
        <f t="shared" si="18"/>
        <v>3.1760912590556813</v>
      </c>
      <c r="L31" s="11"/>
      <c r="M31" s="11"/>
      <c r="N31" s="11"/>
      <c r="O31" s="11"/>
    </row>
    <row r="32" spans="2:45" x14ac:dyDescent="0.25">
      <c r="B32" s="22"/>
      <c r="C32" s="10" t="s">
        <v>46</v>
      </c>
      <c r="D32" s="9"/>
      <c r="E32" s="10"/>
      <c r="F32" s="9"/>
      <c r="G32" s="10"/>
      <c r="H32" s="21">
        <v>30</v>
      </c>
      <c r="J32" s="11">
        <v>1600</v>
      </c>
      <c r="K32" s="141">
        <f t="shared" si="18"/>
        <v>3.2041199826559246</v>
      </c>
      <c r="L32" s="11"/>
      <c r="M32" s="11"/>
      <c r="N32" s="11"/>
      <c r="O32" s="11"/>
    </row>
    <row r="33" spans="2:16" x14ac:dyDescent="0.25">
      <c r="B33" s="22"/>
      <c r="C33" s="10" t="s">
        <v>47</v>
      </c>
      <c r="D33" s="9"/>
      <c r="E33" s="10"/>
      <c r="F33" s="9"/>
      <c r="G33" s="10"/>
      <c r="H33" s="21">
        <v>40</v>
      </c>
      <c r="J33" s="11">
        <v>1000</v>
      </c>
      <c r="K33" s="141">
        <f t="shared" si="18"/>
        <v>3</v>
      </c>
      <c r="L33" s="11"/>
      <c r="M33" s="11"/>
      <c r="N33" s="11"/>
      <c r="O33" s="11"/>
    </row>
    <row r="34" spans="2:16" ht="15.75" thickBot="1" x14ac:dyDescent="0.3">
      <c r="B34" s="23"/>
      <c r="C34" s="13" t="s">
        <v>48</v>
      </c>
      <c r="D34" s="14"/>
      <c r="E34" s="13"/>
      <c r="F34" s="14"/>
      <c r="G34" s="13"/>
      <c r="H34" s="24">
        <v>50</v>
      </c>
      <c r="J34" s="15">
        <v>1400</v>
      </c>
      <c r="K34" s="142">
        <f t="shared" si="18"/>
        <v>3.1461280356782382</v>
      </c>
      <c r="L34" s="15"/>
      <c r="M34" s="15"/>
      <c r="N34" s="15"/>
      <c r="O34" s="11"/>
    </row>
    <row r="35" spans="2:16" ht="15.75" thickBot="1" x14ac:dyDescent="0.3">
      <c r="B35" s="16"/>
      <c r="C35" s="16"/>
      <c r="D35" s="16"/>
      <c r="E35" s="16"/>
      <c r="F35" s="16"/>
      <c r="G35" s="16"/>
      <c r="H35" s="16"/>
      <c r="J35" s="25"/>
      <c r="K35" s="25"/>
      <c r="L35" s="25"/>
      <c r="M35" s="25"/>
      <c r="N35" s="25"/>
      <c r="O35" s="7"/>
    </row>
    <row r="36" spans="2:16" ht="15.75" thickBot="1" x14ac:dyDescent="0.3">
      <c r="B36" s="18" t="s">
        <v>18</v>
      </c>
      <c r="C36" s="5" t="s">
        <v>19</v>
      </c>
      <c r="D36" s="6" t="s">
        <v>20</v>
      </c>
      <c r="E36" s="5" t="s">
        <v>21</v>
      </c>
      <c r="F36" s="6" t="s">
        <v>22</v>
      </c>
      <c r="G36" s="5" t="s">
        <v>23</v>
      </c>
      <c r="H36" s="19" t="s">
        <v>24</v>
      </c>
      <c r="J36" s="7" t="s">
        <v>57</v>
      </c>
      <c r="K36" s="7" t="s">
        <v>240</v>
      </c>
      <c r="L36" s="7" t="s">
        <v>220</v>
      </c>
      <c r="M36" s="7" t="s">
        <v>239</v>
      </c>
      <c r="N36" s="7"/>
      <c r="O36" s="17"/>
      <c r="P36" s="132" t="s">
        <v>219</v>
      </c>
    </row>
    <row r="37" spans="2:16" x14ac:dyDescent="0.25">
      <c r="B37" s="8">
        <v>42118</v>
      </c>
      <c r="C37" s="10" t="s">
        <v>49</v>
      </c>
      <c r="D37" s="9">
        <v>5</v>
      </c>
      <c r="E37" s="10" t="s">
        <v>50</v>
      </c>
      <c r="F37" s="9">
        <v>1065</v>
      </c>
      <c r="G37" s="10">
        <v>5</v>
      </c>
      <c r="H37" s="32">
        <v>0</v>
      </c>
      <c r="J37" s="12">
        <v>7300</v>
      </c>
      <c r="K37" s="141">
        <f t="shared" ref="K37:K42" si="19">LOG10(J37)</f>
        <v>3.8633228601204559</v>
      </c>
      <c r="L37" s="140">
        <f>AVERAGE(K37:K42)</f>
        <v>4.020872208903004</v>
      </c>
      <c r="M37" s="140">
        <f>_xlfn.STDEV.S(K37:K42)</f>
        <v>9.9757839018836697E-2</v>
      </c>
      <c r="N37" s="140"/>
      <c r="O37" s="148"/>
      <c r="P37" s="4">
        <f>LOG10(AVERAGE(J37:J42))</f>
        <v>4.0302825536681617</v>
      </c>
    </row>
    <row r="38" spans="2:16" x14ac:dyDescent="0.25">
      <c r="B38" s="22"/>
      <c r="C38" s="10" t="s">
        <v>51</v>
      </c>
      <c r="D38" s="9"/>
      <c r="E38" s="10"/>
      <c r="F38" s="9"/>
      <c r="G38" s="10"/>
      <c r="H38" s="21">
        <v>10</v>
      </c>
      <c r="J38" s="11">
        <v>10900</v>
      </c>
      <c r="K38" s="141">
        <f t="shared" si="19"/>
        <v>4.0374264979406238</v>
      </c>
      <c r="L38" s="11"/>
      <c r="M38" s="11"/>
      <c r="N38" s="11"/>
      <c r="O38" s="11"/>
    </row>
    <row r="39" spans="2:16" x14ac:dyDescent="0.25">
      <c r="B39" s="22"/>
      <c r="C39" s="10" t="s">
        <v>52</v>
      </c>
      <c r="D39" s="9"/>
      <c r="E39" s="10"/>
      <c r="F39" s="9"/>
      <c r="G39" s="10"/>
      <c r="H39" s="21">
        <v>20</v>
      </c>
      <c r="I39" s="26" t="s">
        <v>53</v>
      </c>
      <c r="J39" s="11">
        <v>11133</v>
      </c>
      <c r="K39" s="141">
        <f t="shared" si="19"/>
        <v>4.0466122090684458</v>
      </c>
      <c r="L39" s="11"/>
      <c r="M39" s="11"/>
      <c r="N39" s="11"/>
      <c r="O39" s="11"/>
    </row>
    <row r="40" spans="2:16" x14ac:dyDescent="0.25">
      <c r="B40" s="22"/>
      <c r="C40" s="10" t="s">
        <v>54</v>
      </c>
      <c r="D40" s="9"/>
      <c r="E40" s="10"/>
      <c r="F40" s="9"/>
      <c r="G40" s="10"/>
      <c r="H40" s="21">
        <v>30</v>
      </c>
      <c r="J40" s="11">
        <v>9400</v>
      </c>
      <c r="K40" s="141">
        <f t="shared" si="19"/>
        <v>3.9731278535996988</v>
      </c>
      <c r="L40" s="11"/>
      <c r="M40" s="11"/>
      <c r="N40" s="11"/>
      <c r="O40" s="11"/>
    </row>
    <row r="41" spans="2:16" x14ac:dyDescent="0.25">
      <c r="B41" s="22"/>
      <c r="C41" s="10" t="s">
        <v>55</v>
      </c>
      <c r="D41" s="9"/>
      <c r="E41" s="10"/>
      <c r="F41" s="9"/>
      <c r="G41" s="10"/>
      <c r="H41" s="21">
        <v>40</v>
      </c>
      <c r="J41" s="11">
        <v>10900</v>
      </c>
      <c r="K41" s="141">
        <f t="shared" si="19"/>
        <v>4.0374264979406238</v>
      </c>
      <c r="L41" s="11"/>
      <c r="M41" s="11"/>
      <c r="N41" s="11"/>
      <c r="O41" s="11"/>
    </row>
    <row r="42" spans="2:16" ht="15.75" thickBot="1" x14ac:dyDescent="0.3">
      <c r="B42" s="23"/>
      <c r="C42" s="13" t="s">
        <v>56</v>
      </c>
      <c r="D42" s="14"/>
      <c r="E42" s="13"/>
      <c r="F42" s="14"/>
      <c r="G42" s="13"/>
      <c r="H42" s="24">
        <v>50</v>
      </c>
      <c r="J42" s="15">
        <v>14700</v>
      </c>
      <c r="K42" s="142">
        <f t="shared" si="19"/>
        <v>4.1673173347481764</v>
      </c>
      <c r="L42" s="15"/>
      <c r="M42" s="15"/>
      <c r="N42" s="15"/>
      <c r="O42" s="15"/>
    </row>
    <row r="43" spans="2:16" x14ac:dyDescent="0.25">
      <c r="B43" s="4"/>
      <c r="C43" s="4"/>
      <c r="D43" s="4"/>
      <c r="E43" s="4"/>
      <c r="F43" s="4"/>
      <c r="G43" s="4"/>
      <c r="H43" s="4"/>
      <c r="J43" s="4"/>
      <c r="K43" s="4"/>
      <c r="L43" s="4"/>
      <c r="M43" s="4"/>
      <c r="N43" s="4"/>
      <c r="O43" s="4" t="s">
        <v>246</v>
      </c>
    </row>
    <row r="44" spans="2:16" x14ac:dyDescent="0.25">
      <c r="O44" s="147">
        <f>AVERAGE(O5,O13,O21,O29)</f>
        <v>0.26745127870030777</v>
      </c>
    </row>
    <row r="63" spans="17:18" ht="21.75" thickBot="1" x14ac:dyDescent="0.4">
      <c r="Q63" s="172" t="s">
        <v>293</v>
      </c>
    </row>
    <row r="64" spans="17:18" x14ac:dyDescent="0.25">
      <c r="Q64" s="166">
        <v>75</v>
      </c>
      <c r="R64" s="167">
        <v>5.2587436752973433</v>
      </c>
    </row>
    <row r="65" spans="17:18" x14ac:dyDescent="0.25">
      <c r="Q65" s="168"/>
      <c r="R65" s="169"/>
    </row>
    <row r="66" spans="17:18" x14ac:dyDescent="0.25">
      <c r="Q66" s="168"/>
      <c r="R66" s="169"/>
    </row>
    <row r="67" spans="17:18" x14ac:dyDescent="0.25">
      <c r="Q67" s="168"/>
      <c r="R67" s="169"/>
    </row>
    <row r="68" spans="17:18" x14ac:dyDescent="0.25">
      <c r="Q68" s="168"/>
      <c r="R68" s="169"/>
    </row>
    <row r="69" spans="17:18" x14ac:dyDescent="0.25">
      <c r="Q69" s="168"/>
      <c r="R69" s="169"/>
    </row>
    <row r="70" spans="17:18" x14ac:dyDescent="0.25">
      <c r="Q70" s="168"/>
      <c r="R70" s="169"/>
    </row>
    <row r="71" spans="17:18" x14ac:dyDescent="0.25">
      <c r="Q71" s="168"/>
      <c r="R71" s="169"/>
    </row>
    <row r="72" spans="17:18" x14ac:dyDescent="0.25">
      <c r="Q72" s="168">
        <v>72</v>
      </c>
      <c r="R72" s="169">
        <v>2.4480632000867799</v>
      </c>
    </row>
    <row r="73" spans="17:18" x14ac:dyDescent="0.25">
      <c r="Q73" s="168"/>
      <c r="R73" s="169"/>
    </row>
    <row r="74" spans="17:18" x14ac:dyDescent="0.25">
      <c r="Q74" s="168"/>
      <c r="R74" s="169"/>
    </row>
    <row r="75" spans="17:18" x14ac:dyDescent="0.25">
      <c r="Q75" s="168"/>
      <c r="R75" s="169"/>
    </row>
    <row r="76" spans="17:18" x14ac:dyDescent="0.25">
      <c r="Q76" s="168"/>
      <c r="R76" s="169"/>
    </row>
    <row r="77" spans="17:18" x14ac:dyDescent="0.25">
      <c r="Q77" s="168"/>
      <c r="R77" s="169"/>
    </row>
    <row r="78" spans="17:18" x14ac:dyDescent="0.25">
      <c r="Q78" s="168"/>
      <c r="R78" s="169"/>
    </row>
    <row r="79" spans="17:18" x14ac:dyDescent="0.25">
      <c r="Q79" s="168"/>
      <c r="R79" s="169"/>
    </row>
    <row r="80" spans="17:18" ht="15.75" thickBot="1" x14ac:dyDescent="0.3">
      <c r="Q80" s="170">
        <v>69</v>
      </c>
      <c r="R80" s="171">
        <v>0.82559635839793888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38"/>
  <sheetViews>
    <sheetView zoomScaleNormal="100" workbookViewId="0"/>
  </sheetViews>
  <sheetFormatPr defaultRowHeight="15" x14ac:dyDescent="0.25"/>
  <cols>
    <col min="2" max="2" width="13.5703125" customWidth="1"/>
    <col min="3" max="3" width="18.85546875" customWidth="1"/>
    <col min="4" max="4" width="18.28515625" customWidth="1"/>
    <col min="5" max="5" width="21.140625" customWidth="1"/>
    <col min="6" max="6" width="20.140625" customWidth="1"/>
    <col min="7" max="7" width="16.42578125" customWidth="1"/>
    <col min="8" max="8" width="20.85546875" customWidth="1"/>
    <col min="10" max="15" width="22" customWidth="1"/>
    <col min="17" max="17" width="24.140625" bestFit="1" customWidth="1"/>
    <col min="18" max="18" width="22.7109375" bestFit="1" customWidth="1"/>
    <col min="19" max="19" width="17" bestFit="1" customWidth="1"/>
    <col min="20" max="20" width="12.140625" bestFit="1" customWidth="1"/>
    <col min="21" max="21" width="13.42578125" bestFit="1" customWidth="1"/>
    <col min="23" max="23" width="11.7109375" bestFit="1" customWidth="1"/>
    <col min="24" max="24" width="22.7109375" bestFit="1" customWidth="1"/>
    <col min="25" max="25" width="17" bestFit="1" customWidth="1"/>
    <col min="26" max="26" width="12.140625" bestFit="1" customWidth="1"/>
    <col min="27" max="27" width="13.42578125" bestFit="1" customWidth="1"/>
    <col min="29" max="29" width="11.7109375" bestFit="1" customWidth="1"/>
    <col min="30" max="30" width="22.7109375" bestFit="1" customWidth="1"/>
    <col min="31" max="31" width="17" bestFit="1" customWidth="1"/>
    <col min="32" max="32" width="12.140625" bestFit="1" customWidth="1"/>
    <col min="33" max="33" width="13.42578125" bestFit="1" customWidth="1"/>
    <col min="35" max="35" width="11.7109375" bestFit="1" customWidth="1"/>
    <col min="36" max="36" width="22.7109375" bestFit="1" customWidth="1"/>
    <col min="37" max="37" width="17" bestFit="1" customWidth="1"/>
    <col min="38" max="38" width="12.140625" bestFit="1" customWidth="1"/>
    <col min="39" max="39" width="13.42578125" bestFit="1" customWidth="1"/>
    <col min="41" max="41" width="11.7109375" bestFit="1" customWidth="1"/>
    <col min="42" max="42" width="26.7109375" bestFit="1" customWidth="1"/>
    <col min="43" max="43" width="17" bestFit="1" customWidth="1"/>
    <col min="44" max="44" width="12.140625" bestFit="1" customWidth="1"/>
    <col min="45" max="45" width="26.140625" bestFit="1" customWidth="1"/>
  </cols>
  <sheetData>
    <row r="1" spans="1:45" ht="23.25" x14ac:dyDescent="0.35">
      <c r="A1" s="76"/>
    </row>
    <row r="2" spans="1:45" ht="23.25" x14ac:dyDescent="0.35">
      <c r="B2" s="43" t="s">
        <v>310</v>
      </c>
      <c r="J2" s="4"/>
      <c r="K2" s="4"/>
      <c r="L2" s="4"/>
      <c r="M2" s="4"/>
      <c r="N2" s="4"/>
      <c r="O2" s="4"/>
    </row>
    <row r="3" spans="1:45" ht="24" thickBot="1" x14ac:dyDescent="0.4">
      <c r="J3" s="4"/>
      <c r="K3" s="4"/>
      <c r="L3" s="4"/>
      <c r="M3" s="4"/>
      <c r="N3" s="4"/>
      <c r="O3" s="4"/>
      <c r="Q3" s="96" t="s">
        <v>195</v>
      </c>
      <c r="R3" s="4"/>
      <c r="S3" s="4"/>
      <c r="T3" s="4"/>
      <c r="U3" s="4"/>
      <c r="V3" s="4"/>
      <c r="W3" s="4"/>
      <c r="X3" s="4"/>
      <c r="Y3" s="4"/>
      <c r="Z3" s="4"/>
      <c r="AA3" s="4"/>
    </row>
    <row r="4" spans="1:45" ht="15.75" thickBot="1" x14ac:dyDescent="0.3">
      <c r="B4" s="18" t="s">
        <v>18</v>
      </c>
      <c r="C4" s="5" t="s">
        <v>19</v>
      </c>
      <c r="D4" s="6" t="s">
        <v>20</v>
      </c>
      <c r="E4" s="5" t="s">
        <v>21</v>
      </c>
      <c r="F4" s="6" t="s">
        <v>22</v>
      </c>
      <c r="G4" s="5" t="s">
        <v>23</v>
      </c>
      <c r="H4" s="19" t="s">
        <v>24</v>
      </c>
      <c r="J4" s="7" t="s">
        <v>57</v>
      </c>
      <c r="K4" s="7" t="s">
        <v>240</v>
      </c>
      <c r="L4" s="7" t="s">
        <v>241</v>
      </c>
      <c r="M4" s="7" t="s">
        <v>242</v>
      </c>
      <c r="N4" s="7" t="s">
        <v>218</v>
      </c>
      <c r="O4" s="25" t="s">
        <v>243</v>
      </c>
      <c r="Q4" s="102" t="s">
        <v>196</v>
      </c>
      <c r="R4" s="103" t="s">
        <v>198</v>
      </c>
      <c r="S4" s="104" t="s">
        <v>215</v>
      </c>
      <c r="T4" s="104" t="s">
        <v>197</v>
      </c>
      <c r="U4" s="103" t="s">
        <v>2</v>
      </c>
      <c r="V4" s="4"/>
      <c r="W4" s="102" t="s">
        <v>196</v>
      </c>
      <c r="X4" s="103" t="s">
        <v>199</v>
      </c>
      <c r="Y4" s="104" t="s">
        <v>215</v>
      </c>
      <c r="Z4" s="104" t="s">
        <v>197</v>
      </c>
      <c r="AA4" s="103" t="s">
        <v>2</v>
      </c>
      <c r="AC4" s="102" t="s">
        <v>196</v>
      </c>
      <c r="AD4" s="103" t="s">
        <v>200</v>
      </c>
      <c r="AE4" s="104" t="s">
        <v>215</v>
      </c>
      <c r="AF4" s="104" t="s">
        <v>197</v>
      </c>
      <c r="AG4" s="103" t="s">
        <v>2</v>
      </c>
      <c r="AI4" s="102" t="s">
        <v>196</v>
      </c>
      <c r="AJ4" s="103" t="s">
        <v>201</v>
      </c>
      <c r="AK4" s="104" t="s">
        <v>215</v>
      </c>
      <c r="AL4" s="104" t="s">
        <v>197</v>
      </c>
      <c r="AM4" s="103" t="s">
        <v>2</v>
      </c>
      <c r="AO4" s="102"/>
      <c r="AP4" s="103"/>
      <c r="AQ4" s="104"/>
      <c r="AR4" s="104"/>
      <c r="AS4" s="103"/>
    </row>
    <row r="5" spans="1:45" x14ac:dyDescent="0.25">
      <c r="B5" s="20">
        <v>42151</v>
      </c>
      <c r="C5" s="10" t="s">
        <v>131</v>
      </c>
      <c r="D5" s="9">
        <v>15</v>
      </c>
      <c r="E5" s="10">
        <v>75</v>
      </c>
      <c r="F5" s="9">
        <v>1065</v>
      </c>
      <c r="G5" s="10">
        <v>5</v>
      </c>
      <c r="H5" s="21">
        <v>0</v>
      </c>
      <c r="J5" s="163">
        <v>1.7</v>
      </c>
      <c r="K5" s="141">
        <f t="shared" ref="K5:K10" si="0">LOG10(J5)</f>
        <v>0.23044892137827391</v>
      </c>
      <c r="L5" s="140">
        <f>AVERAGE(K7:K10)</f>
        <v>0.1505149978319906</v>
      </c>
      <c r="M5" s="140">
        <f>_xlfn.STDEV.S(K7:K10)</f>
        <v>0.17379974903075143</v>
      </c>
      <c r="N5" s="140">
        <f>$L$29-L5</f>
        <v>5.2833987551455008</v>
      </c>
      <c r="O5" s="148">
        <f>M5+$M$29</f>
        <v>0.20435488262204476</v>
      </c>
      <c r="Q5" s="45">
        <v>0</v>
      </c>
      <c r="R5" s="101">
        <v>167.1</v>
      </c>
      <c r="S5" s="120">
        <f t="shared" ref="S5:S12" si="1">(R5-32)*0.556</f>
        <v>75.115600000000001</v>
      </c>
      <c r="T5" s="98">
        <v>277</v>
      </c>
      <c r="U5" s="80">
        <f t="shared" ref="U5:U12" si="2">T5*3.785</f>
        <v>1048.4449999999999</v>
      </c>
      <c r="V5" s="4"/>
      <c r="W5" s="97">
        <v>0</v>
      </c>
      <c r="X5" s="101">
        <v>162.4</v>
      </c>
      <c r="Y5" s="120">
        <f t="shared" ref="Y5:Y12" si="3">(X5-32)*0.556</f>
        <v>72.502400000000009</v>
      </c>
      <c r="Z5" s="98">
        <v>287</v>
      </c>
      <c r="AA5" s="80">
        <f t="shared" ref="AA5:AA12" si="4">Z5*3.785</f>
        <v>1086.2950000000001</v>
      </c>
      <c r="AC5" s="97">
        <v>0</v>
      </c>
      <c r="AD5" s="101">
        <v>156.19999999999999</v>
      </c>
      <c r="AE5" s="120">
        <f t="shared" ref="AE5:AE13" si="5">(AD5-32)*0.556</f>
        <v>69.055199999999999</v>
      </c>
      <c r="AF5" s="98">
        <v>286</v>
      </c>
      <c r="AG5" s="80">
        <f t="shared" ref="AG5:AG13" si="6">AF5*3.785</f>
        <v>1082.51</v>
      </c>
      <c r="AI5" s="97">
        <v>0</v>
      </c>
      <c r="AJ5" s="101">
        <v>84.6</v>
      </c>
      <c r="AK5" s="120">
        <f t="shared" ref="AK5:AK13" si="7">(AJ5-32)*0.556</f>
        <v>29.2456</v>
      </c>
      <c r="AL5" s="98">
        <v>281</v>
      </c>
      <c r="AM5" s="80">
        <f t="shared" ref="AM5:AM13" si="8">AL5*3.785</f>
        <v>1063.585</v>
      </c>
      <c r="AO5" s="97"/>
      <c r="AP5" s="101"/>
      <c r="AQ5" s="120"/>
      <c r="AR5" s="98"/>
      <c r="AS5" s="80"/>
    </row>
    <row r="6" spans="1:45" x14ac:dyDescent="0.25">
      <c r="B6" s="22"/>
      <c r="C6" s="10" t="s">
        <v>132</v>
      </c>
      <c r="D6" s="9"/>
      <c r="E6" s="10"/>
      <c r="F6" s="9"/>
      <c r="G6" s="10"/>
      <c r="H6" s="21">
        <f>H5+30</f>
        <v>30</v>
      </c>
      <c r="J6" s="164">
        <v>1.3</v>
      </c>
      <c r="K6" s="141">
        <f t="shared" si="0"/>
        <v>0.11394335230683679</v>
      </c>
      <c r="L6" s="11"/>
      <c r="M6" s="11"/>
      <c r="N6" s="11"/>
      <c r="O6" s="11"/>
      <c r="Q6" s="101">
        <f>Q5+30</f>
        <v>30</v>
      </c>
      <c r="R6" s="101">
        <v>167.1</v>
      </c>
      <c r="S6" s="120">
        <f t="shared" si="1"/>
        <v>75.115600000000001</v>
      </c>
      <c r="T6" s="98">
        <v>281</v>
      </c>
      <c r="U6" s="80">
        <f t="shared" si="2"/>
        <v>1063.585</v>
      </c>
      <c r="V6" s="4"/>
      <c r="W6" s="97">
        <f>W5+30</f>
        <v>30</v>
      </c>
      <c r="X6" s="101">
        <v>162.1</v>
      </c>
      <c r="Y6" s="120">
        <f t="shared" si="3"/>
        <v>72.335599999999999</v>
      </c>
      <c r="Z6" s="98">
        <v>286</v>
      </c>
      <c r="AA6" s="80">
        <f t="shared" si="4"/>
        <v>1082.51</v>
      </c>
      <c r="AC6" s="97">
        <f>AC5+30</f>
        <v>30</v>
      </c>
      <c r="AD6" s="101">
        <v>156.19999999999999</v>
      </c>
      <c r="AE6" s="120">
        <f t="shared" si="5"/>
        <v>69.055199999999999</v>
      </c>
      <c r="AF6" s="98">
        <v>287</v>
      </c>
      <c r="AG6" s="80">
        <f t="shared" si="6"/>
        <v>1086.2950000000001</v>
      </c>
      <c r="AI6" s="97">
        <f>AI5+30</f>
        <v>30</v>
      </c>
      <c r="AJ6" s="101">
        <v>84.3</v>
      </c>
      <c r="AK6" s="120">
        <f t="shared" si="7"/>
        <v>29.078800000000001</v>
      </c>
      <c r="AL6" s="98">
        <v>278</v>
      </c>
      <c r="AM6" s="80">
        <f t="shared" si="8"/>
        <v>1052.23</v>
      </c>
      <c r="AO6" s="97"/>
      <c r="AP6" s="101"/>
      <c r="AQ6" s="120"/>
      <c r="AR6" s="98"/>
      <c r="AS6" s="80"/>
    </row>
    <row r="7" spans="1:45" x14ac:dyDescent="0.25">
      <c r="B7" s="22"/>
      <c r="C7" s="10" t="s">
        <v>133</v>
      </c>
      <c r="D7" s="9"/>
      <c r="E7" s="10"/>
      <c r="F7" s="9"/>
      <c r="G7" s="10"/>
      <c r="H7" s="21">
        <f>H6+30</f>
        <v>60</v>
      </c>
      <c r="J7" s="164">
        <v>2</v>
      </c>
      <c r="K7" s="141">
        <f t="shared" si="0"/>
        <v>0.3010299956639812</v>
      </c>
      <c r="L7" s="11"/>
      <c r="M7" s="11"/>
      <c r="N7" s="11"/>
      <c r="O7" s="11"/>
      <c r="Q7" s="101">
        <f t="shared" ref="Q7:Q19" si="9">Q6+30</f>
        <v>60</v>
      </c>
      <c r="R7" s="101">
        <v>166.9</v>
      </c>
      <c r="S7" s="120">
        <f t="shared" si="1"/>
        <v>75.004400000000004</v>
      </c>
      <c r="T7" s="98">
        <v>275</v>
      </c>
      <c r="U7" s="80">
        <f t="shared" si="2"/>
        <v>1040.875</v>
      </c>
      <c r="V7" s="4"/>
      <c r="W7" s="97">
        <f t="shared" ref="W7:W19" si="10">W6+30</f>
        <v>60</v>
      </c>
      <c r="X7" s="101">
        <v>162</v>
      </c>
      <c r="Y7" s="120">
        <f t="shared" si="3"/>
        <v>72.28</v>
      </c>
      <c r="Z7" s="98">
        <v>288</v>
      </c>
      <c r="AA7" s="80">
        <f t="shared" si="4"/>
        <v>1090.08</v>
      </c>
      <c r="AC7" s="97">
        <f t="shared" ref="AC7:AC19" si="11">AC6+30</f>
        <v>60</v>
      </c>
      <c r="AD7" s="101">
        <v>155.9</v>
      </c>
      <c r="AE7" s="120">
        <f t="shared" si="5"/>
        <v>68.888400000000004</v>
      </c>
      <c r="AF7" s="98">
        <v>281</v>
      </c>
      <c r="AG7" s="80">
        <f t="shared" si="6"/>
        <v>1063.585</v>
      </c>
      <c r="AI7" s="97">
        <f t="shared" ref="AI7:AI19" si="12">AI6+30</f>
        <v>60</v>
      </c>
      <c r="AJ7" s="101">
        <v>84.2</v>
      </c>
      <c r="AK7" s="120">
        <f t="shared" si="7"/>
        <v>29.023200000000003</v>
      </c>
      <c r="AL7" s="98">
        <v>279</v>
      </c>
      <c r="AM7" s="80">
        <f t="shared" si="8"/>
        <v>1056.0150000000001</v>
      </c>
      <c r="AO7" s="97"/>
      <c r="AP7" s="101"/>
      <c r="AQ7" s="120"/>
      <c r="AR7" s="98"/>
      <c r="AS7" s="80"/>
    </row>
    <row r="8" spans="1:45" x14ac:dyDescent="0.25">
      <c r="B8" s="22"/>
      <c r="C8" s="10" t="s">
        <v>134</v>
      </c>
      <c r="D8" s="9"/>
      <c r="E8" s="10"/>
      <c r="F8" s="9"/>
      <c r="G8" s="10"/>
      <c r="H8" s="21">
        <f>H7+30</f>
        <v>90</v>
      </c>
      <c r="J8" s="164">
        <v>1</v>
      </c>
      <c r="K8" s="141">
        <f t="shared" si="0"/>
        <v>0</v>
      </c>
      <c r="L8" s="11"/>
      <c r="M8" s="11"/>
      <c r="N8" s="11"/>
      <c r="O8" s="11"/>
      <c r="Q8" s="101">
        <f t="shared" si="9"/>
        <v>90</v>
      </c>
      <c r="R8" s="101">
        <v>166.8</v>
      </c>
      <c r="S8" s="120">
        <f t="shared" si="1"/>
        <v>74.94880000000002</v>
      </c>
      <c r="T8" s="98">
        <v>288</v>
      </c>
      <c r="U8" s="80">
        <f t="shared" si="2"/>
        <v>1090.08</v>
      </c>
      <c r="V8" s="4"/>
      <c r="W8" s="97">
        <f t="shared" si="10"/>
        <v>90</v>
      </c>
      <c r="X8" s="101">
        <v>161.80000000000001</v>
      </c>
      <c r="Y8" s="120">
        <f t="shared" si="3"/>
        <v>72.168800000000019</v>
      </c>
      <c r="Z8" s="98">
        <v>281</v>
      </c>
      <c r="AA8" s="80">
        <f t="shared" si="4"/>
        <v>1063.585</v>
      </c>
      <c r="AC8" s="97">
        <f t="shared" si="11"/>
        <v>90</v>
      </c>
      <c r="AD8" s="101">
        <v>155.80000000000001</v>
      </c>
      <c r="AE8" s="120">
        <f t="shared" si="5"/>
        <v>68.832800000000006</v>
      </c>
      <c r="AF8" s="98">
        <v>284</v>
      </c>
      <c r="AG8" s="80">
        <f t="shared" si="6"/>
        <v>1074.94</v>
      </c>
      <c r="AI8" s="97">
        <f t="shared" si="12"/>
        <v>90</v>
      </c>
      <c r="AJ8" s="101">
        <v>84.1</v>
      </c>
      <c r="AK8" s="120">
        <f t="shared" si="7"/>
        <v>28.967600000000001</v>
      </c>
      <c r="AL8" s="98">
        <v>278</v>
      </c>
      <c r="AM8" s="80">
        <f t="shared" si="8"/>
        <v>1052.23</v>
      </c>
      <c r="AO8" s="97"/>
      <c r="AP8" s="101"/>
      <c r="AQ8" s="120"/>
      <c r="AR8" s="98"/>
      <c r="AS8" s="80"/>
    </row>
    <row r="9" spans="1:45" x14ac:dyDescent="0.25">
      <c r="B9" s="22"/>
      <c r="C9" s="10" t="s">
        <v>135</v>
      </c>
      <c r="D9" s="9"/>
      <c r="E9" s="10"/>
      <c r="F9" s="9"/>
      <c r="G9" s="10"/>
      <c r="H9" s="21">
        <f>H8+30</f>
        <v>120</v>
      </c>
      <c r="J9" s="164">
        <v>1</v>
      </c>
      <c r="K9" s="141">
        <f t="shared" si="0"/>
        <v>0</v>
      </c>
      <c r="L9" s="11"/>
      <c r="M9" s="11"/>
      <c r="N9" s="11"/>
      <c r="O9" s="11"/>
      <c r="Q9" s="101">
        <f t="shared" si="9"/>
        <v>120</v>
      </c>
      <c r="R9" s="101">
        <v>166.6</v>
      </c>
      <c r="S9" s="120">
        <f t="shared" si="1"/>
        <v>74.837600000000009</v>
      </c>
      <c r="T9" s="98">
        <v>286</v>
      </c>
      <c r="U9" s="80">
        <f t="shared" si="2"/>
        <v>1082.51</v>
      </c>
      <c r="V9" s="4"/>
      <c r="W9" s="97">
        <f t="shared" si="10"/>
        <v>120</v>
      </c>
      <c r="X9" s="101">
        <v>161.9</v>
      </c>
      <c r="Y9" s="120">
        <f t="shared" si="3"/>
        <v>72.224400000000003</v>
      </c>
      <c r="Z9" s="98">
        <v>282</v>
      </c>
      <c r="AA9" s="80">
        <f t="shared" si="4"/>
        <v>1067.3700000000001</v>
      </c>
      <c r="AC9" s="97">
        <f t="shared" si="11"/>
        <v>120</v>
      </c>
      <c r="AD9" s="101">
        <v>157.69999999999999</v>
      </c>
      <c r="AE9" s="120">
        <f t="shared" si="5"/>
        <v>69.889200000000002</v>
      </c>
      <c r="AF9" s="98">
        <v>277</v>
      </c>
      <c r="AG9" s="80">
        <f t="shared" si="6"/>
        <v>1048.4449999999999</v>
      </c>
      <c r="AI9" s="97">
        <f t="shared" si="12"/>
        <v>120</v>
      </c>
      <c r="AJ9" s="101">
        <v>83.9</v>
      </c>
      <c r="AK9" s="120">
        <f t="shared" si="7"/>
        <v>28.856400000000004</v>
      </c>
      <c r="AL9" s="98">
        <v>280</v>
      </c>
      <c r="AM9" s="80">
        <f t="shared" si="8"/>
        <v>1059.8</v>
      </c>
      <c r="AO9" s="97"/>
      <c r="AP9" s="101"/>
      <c r="AQ9" s="120"/>
      <c r="AR9" s="98"/>
      <c r="AS9" s="80"/>
    </row>
    <row r="10" spans="1:45" ht="15.75" thickBot="1" x14ac:dyDescent="0.3">
      <c r="B10" s="23"/>
      <c r="C10" s="13" t="s">
        <v>136</v>
      </c>
      <c r="D10" s="14"/>
      <c r="E10" s="13"/>
      <c r="F10" s="14"/>
      <c r="G10" s="13"/>
      <c r="H10" s="24">
        <f>H9+30</f>
        <v>150</v>
      </c>
      <c r="J10" s="165">
        <v>2</v>
      </c>
      <c r="K10" s="142">
        <f t="shared" si="0"/>
        <v>0.3010299956639812</v>
      </c>
      <c r="L10" s="15"/>
      <c r="M10" s="15"/>
      <c r="N10" s="15"/>
      <c r="O10" s="15"/>
      <c r="Q10" s="101">
        <f t="shared" si="9"/>
        <v>150</v>
      </c>
      <c r="R10" s="101">
        <v>166.7</v>
      </c>
      <c r="S10" s="120">
        <f t="shared" si="1"/>
        <v>74.893200000000007</v>
      </c>
      <c r="T10" s="98">
        <v>287</v>
      </c>
      <c r="U10" s="80">
        <f t="shared" si="2"/>
        <v>1086.2950000000001</v>
      </c>
      <c r="V10" s="4"/>
      <c r="W10" s="97">
        <f t="shared" si="10"/>
        <v>150</v>
      </c>
      <c r="X10" s="101">
        <v>161.80000000000001</v>
      </c>
      <c r="Y10" s="120">
        <f t="shared" si="3"/>
        <v>72.168800000000019</v>
      </c>
      <c r="Z10" s="98">
        <v>287</v>
      </c>
      <c r="AA10" s="80">
        <f t="shared" si="4"/>
        <v>1086.2950000000001</v>
      </c>
      <c r="AC10" s="97">
        <f t="shared" si="11"/>
        <v>150</v>
      </c>
      <c r="AD10" s="101">
        <v>155.80000000000001</v>
      </c>
      <c r="AE10" s="120">
        <f t="shared" si="5"/>
        <v>68.832800000000006</v>
      </c>
      <c r="AF10" s="98">
        <v>288</v>
      </c>
      <c r="AG10" s="80">
        <f t="shared" si="6"/>
        <v>1090.08</v>
      </c>
      <c r="AI10" s="97">
        <f t="shared" si="12"/>
        <v>150</v>
      </c>
      <c r="AJ10" s="101">
        <v>83.8</v>
      </c>
      <c r="AK10" s="120">
        <f t="shared" si="7"/>
        <v>28.800800000000002</v>
      </c>
      <c r="AL10" s="98">
        <v>279</v>
      </c>
      <c r="AM10" s="80">
        <f t="shared" si="8"/>
        <v>1056.0150000000001</v>
      </c>
      <c r="AO10" s="97"/>
      <c r="AP10" s="101"/>
      <c r="AQ10" s="120"/>
      <c r="AR10" s="98"/>
      <c r="AS10" s="80"/>
    </row>
    <row r="11" spans="1:45" ht="15.75" thickBot="1" x14ac:dyDescent="0.3">
      <c r="B11" s="44"/>
      <c r="C11" s="45" t="s">
        <v>137</v>
      </c>
      <c r="D11" s="46"/>
      <c r="E11" s="45"/>
      <c r="F11" s="46"/>
      <c r="G11" s="45"/>
      <c r="H11" s="47"/>
      <c r="J11" s="17"/>
      <c r="K11" s="17"/>
      <c r="L11" s="17"/>
      <c r="M11" s="17"/>
      <c r="N11" s="17"/>
      <c r="O11" s="17"/>
      <c r="Q11" s="101">
        <f t="shared" si="9"/>
        <v>180</v>
      </c>
      <c r="R11" s="101">
        <v>166.7</v>
      </c>
      <c r="S11" s="120">
        <f t="shared" si="1"/>
        <v>74.893200000000007</v>
      </c>
      <c r="T11" s="98">
        <v>288</v>
      </c>
      <c r="U11" s="80">
        <f t="shared" si="2"/>
        <v>1090.08</v>
      </c>
      <c r="V11" s="4"/>
      <c r="W11" s="97">
        <f t="shared" si="10"/>
        <v>180</v>
      </c>
      <c r="X11" s="101">
        <v>161.69999999999999</v>
      </c>
      <c r="Y11" s="120">
        <f t="shared" si="3"/>
        <v>72.113200000000006</v>
      </c>
      <c r="Z11" s="98">
        <v>283</v>
      </c>
      <c r="AA11" s="80">
        <f t="shared" si="4"/>
        <v>1071.155</v>
      </c>
      <c r="AC11" s="97">
        <f t="shared" si="11"/>
        <v>180</v>
      </c>
      <c r="AD11" s="101">
        <v>156</v>
      </c>
      <c r="AE11" s="120">
        <f t="shared" si="5"/>
        <v>68.944000000000003</v>
      </c>
      <c r="AF11" s="98">
        <v>281</v>
      </c>
      <c r="AG11" s="80">
        <f t="shared" si="6"/>
        <v>1063.585</v>
      </c>
      <c r="AI11" s="97">
        <f t="shared" si="12"/>
        <v>180</v>
      </c>
      <c r="AJ11" s="101">
        <v>83.6</v>
      </c>
      <c r="AK11" s="120">
        <f t="shared" si="7"/>
        <v>28.689599999999999</v>
      </c>
      <c r="AL11" s="98">
        <v>277</v>
      </c>
      <c r="AM11" s="80">
        <f t="shared" si="8"/>
        <v>1048.4449999999999</v>
      </c>
      <c r="AO11" s="97"/>
      <c r="AP11" s="101"/>
      <c r="AQ11" s="120"/>
      <c r="AR11" s="98"/>
      <c r="AS11" s="80"/>
    </row>
    <row r="12" spans="1:45" ht="15.75" thickBot="1" x14ac:dyDescent="0.3">
      <c r="B12" s="48"/>
      <c r="C12" s="49" t="s">
        <v>138</v>
      </c>
      <c r="D12" s="50"/>
      <c r="E12" s="49"/>
      <c r="F12" s="50"/>
      <c r="G12" s="49"/>
      <c r="H12" s="51"/>
      <c r="J12" s="7"/>
      <c r="K12" s="7" t="s">
        <v>240</v>
      </c>
      <c r="L12" s="7" t="s">
        <v>220</v>
      </c>
      <c r="M12" s="7" t="s">
        <v>239</v>
      </c>
      <c r="N12" s="7"/>
      <c r="O12" s="7"/>
      <c r="Q12" s="101">
        <f t="shared" si="9"/>
        <v>210</v>
      </c>
      <c r="R12" s="101">
        <v>166.4</v>
      </c>
      <c r="S12" s="120">
        <f t="shared" si="1"/>
        <v>74.726400000000012</v>
      </c>
      <c r="T12" s="98">
        <v>287</v>
      </c>
      <c r="U12" s="80">
        <f t="shared" si="2"/>
        <v>1086.2950000000001</v>
      </c>
      <c r="V12" s="4"/>
      <c r="W12" s="97">
        <f t="shared" si="10"/>
        <v>210</v>
      </c>
      <c r="X12" s="101">
        <v>161.80000000000001</v>
      </c>
      <c r="Y12" s="120">
        <f t="shared" si="3"/>
        <v>72.168800000000019</v>
      </c>
      <c r="Z12" s="98">
        <v>282</v>
      </c>
      <c r="AA12" s="80">
        <f t="shared" si="4"/>
        <v>1067.3700000000001</v>
      </c>
      <c r="AC12" s="97">
        <f t="shared" si="11"/>
        <v>210</v>
      </c>
      <c r="AD12" s="101">
        <v>156.30000000000001</v>
      </c>
      <c r="AE12" s="120">
        <f t="shared" si="5"/>
        <v>69.110800000000012</v>
      </c>
      <c r="AF12" s="98">
        <v>286</v>
      </c>
      <c r="AG12" s="80">
        <f t="shared" si="6"/>
        <v>1082.51</v>
      </c>
      <c r="AI12" s="97">
        <f t="shared" si="12"/>
        <v>210</v>
      </c>
      <c r="AJ12" s="101">
        <v>83.3</v>
      </c>
      <c r="AK12" s="120">
        <f t="shared" si="7"/>
        <v>28.5228</v>
      </c>
      <c r="AL12" s="98">
        <v>275</v>
      </c>
      <c r="AM12" s="80">
        <f t="shared" si="8"/>
        <v>1040.875</v>
      </c>
      <c r="AO12" s="97"/>
      <c r="AP12" s="101"/>
      <c r="AQ12" s="120"/>
      <c r="AR12" s="98"/>
      <c r="AS12" s="80"/>
    </row>
    <row r="13" spans="1:45" x14ac:dyDescent="0.25">
      <c r="B13" s="20">
        <v>42151</v>
      </c>
      <c r="C13" s="30" t="s">
        <v>251</v>
      </c>
      <c r="D13" s="31">
        <v>16</v>
      </c>
      <c r="E13" s="30">
        <v>72</v>
      </c>
      <c r="F13" s="31">
        <v>1065</v>
      </c>
      <c r="G13" s="30">
        <v>5</v>
      </c>
      <c r="H13" s="32">
        <v>0</v>
      </c>
      <c r="J13" s="11">
        <v>1370</v>
      </c>
      <c r="K13" s="141">
        <f t="shared" ref="K13:K18" si="13">LOG10(J13)</f>
        <v>3.1367205671564067</v>
      </c>
      <c r="L13" s="140">
        <f>AVERAGE(K13:K18)</f>
        <v>2.9641986967343938</v>
      </c>
      <c r="M13" s="140">
        <f>_xlfn.STDEV.S(K13:K18)</f>
        <v>0.16098165894229857</v>
      </c>
      <c r="N13" s="140">
        <f>$L$29-L13</f>
        <v>2.4697150562430976</v>
      </c>
      <c r="O13" s="148">
        <f>M13+$M$29</f>
        <v>0.1915367925335919</v>
      </c>
      <c r="Q13" s="101">
        <f t="shared" si="9"/>
        <v>240</v>
      </c>
      <c r="R13" s="101"/>
      <c r="S13" s="120"/>
      <c r="T13" s="98"/>
      <c r="U13" s="80"/>
      <c r="V13" s="4"/>
      <c r="W13" s="97">
        <f t="shared" si="10"/>
        <v>240</v>
      </c>
      <c r="X13" s="101"/>
      <c r="Y13" s="98"/>
      <c r="Z13" s="98"/>
      <c r="AA13" s="101"/>
      <c r="AC13" s="97">
        <f t="shared" si="11"/>
        <v>240</v>
      </c>
      <c r="AD13" s="101">
        <v>155.80000000000001</v>
      </c>
      <c r="AE13" s="117">
        <f t="shared" si="5"/>
        <v>68.832800000000006</v>
      </c>
      <c r="AF13" s="98">
        <v>289</v>
      </c>
      <c r="AG13" s="80">
        <f t="shared" si="6"/>
        <v>1093.865</v>
      </c>
      <c r="AI13" s="97">
        <f t="shared" si="12"/>
        <v>240</v>
      </c>
      <c r="AJ13" s="101">
        <v>83</v>
      </c>
      <c r="AK13" s="117">
        <f t="shared" si="7"/>
        <v>28.356000000000002</v>
      </c>
      <c r="AL13" s="98">
        <v>275</v>
      </c>
      <c r="AM13" s="80">
        <f t="shared" si="8"/>
        <v>1040.875</v>
      </c>
      <c r="AO13" s="97"/>
      <c r="AP13" s="101"/>
      <c r="AQ13" s="98"/>
      <c r="AR13" s="98"/>
      <c r="AS13" s="101"/>
    </row>
    <row r="14" spans="1:45" ht="15.75" thickBot="1" x14ac:dyDescent="0.3">
      <c r="B14" s="22"/>
      <c r="C14" s="10" t="s">
        <v>252</v>
      </c>
      <c r="D14" s="9"/>
      <c r="E14" s="10"/>
      <c r="F14" s="9"/>
      <c r="G14" s="10"/>
      <c r="H14" s="21">
        <v>30</v>
      </c>
      <c r="J14" s="11">
        <v>820</v>
      </c>
      <c r="K14" s="141">
        <f t="shared" si="13"/>
        <v>2.9138138523837167</v>
      </c>
      <c r="L14" s="11"/>
      <c r="M14" s="11"/>
      <c r="N14" s="11"/>
      <c r="O14" s="11"/>
      <c r="Q14" s="101">
        <f t="shared" si="9"/>
        <v>270</v>
      </c>
      <c r="R14" s="87"/>
      <c r="S14" s="93"/>
      <c r="T14" s="93"/>
      <c r="U14" s="87"/>
      <c r="V14" s="4"/>
      <c r="W14" s="99">
        <f t="shared" si="10"/>
        <v>270</v>
      </c>
      <c r="X14" s="87"/>
      <c r="Y14" s="93"/>
      <c r="Z14" s="93"/>
      <c r="AA14" s="87"/>
      <c r="AC14" s="99">
        <f t="shared" si="11"/>
        <v>270</v>
      </c>
      <c r="AD14" s="87"/>
      <c r="AE14" s="93"/>
      <c r="AF14" s="93"/>
      <c r="AG14" s="87"/>
      <c r="AI14" s="99">
        <f t="shared" si="12"/>
        <v>270</v>
      </c>
      <c r="AJ14" s="87"/>
      <c r="AK14" s="93"/>
      <c r="AL14" s="93"/>
      <c r="AM14" s="87"/>
      <c r="AO14" s="99"/>
      <c r="AP14" s="105"/>
      <c r="AQ14" s="112"/>
      <c r="AR14" s="93"/>
      <c r="AS14" s="87"/>
    </row>
    <row r="15" spans="1:45" x14ac:dyDescent="0.25">
      <c r="B15" s="22"/>
      <c r="C15" s="10" t="s">
        <v>253</v>
      </c>
      <c r="D15" s="9"/>
      <c r="E15" s="10"/>
      <c r="F15" s="9"/>
      <c r="G15" s="10"/>
      <c r="H15" s="21">
        <v>60</v>
      </c>
      <c r="J15" s="11">
        <v>1240</v>
      </c>
      <c r="K15" s="141">
        <f t="shared" si="13"/>
        <v>3.0934216851622351</v>
      </c>
      <c r="L15" s="11"/>
      <c r="M15" s="11"/>
      <c r="N15" s="11"/>
      <c r="O15" s="11"/>
      <c r="Q15" s="101">
        <f t="shared" si="9"/>
        <v>300</v>
      </c>
      <c r="R15" s="87"/>
      <c r="S15" s="133" t="s">
        <v>220</v>
      </c>
      <c r="T15" s="93"/>
      <c r="U15" s="133" t="s">
        <v>220</v>
      </c>
      <c r="V15" s="4"/>
      <c r="W15" s="99">
        <f t="shared" si="10"/>
        <v>300</v>
      </c>
      <c r="X15" s="87"/>
      <c r="Y15" s="133" t="s">
        <v>220</v>
      </c>
      <c r="Z15" s="93"/>
      <c r="AA15" s="133" t="s">
        <v>220</v>
      </c>
      <c r="AC15" s="99">
        <f t="shared" si="11"/>
        <v>300</v>
      </c>
      <c r="AD15" s="89"/>
      <c r="AE15" s="133" t="s">
        <v>220</v>
      </c>
      <c r="AF15" s="93"/>
      <c r="AG15" s="133" t="s">
        <v>220</v>
      </c>
      <c r="AI15" s="99">
        <f t="shared" si="12"/>
        <v>300</v>
      </c>
      <c r="AJ15" s="89"/>
      <c r="AK15" s="133" t="s">
        <v>220</v>
      </c>
      <c r="AL15" s="93"/>
      <c r="AM15" s="133" t="s">
        <v>220</v>
      </c>
      <c r="AO15" s="99"/>
      <c r="AP15" s="87"/>
      <c r="AQ15" s="133"/>
      <c r="AR15" s="93"/>
      <c r="AS15" s="133"/>
    </row>
    <row r="16" spans="1:45" ht="15.75" thickBot="1" x14ac:dyDescent="0.3">
      <c r="B16" s="22"/>
      <c r="C16" s="10" t="s">
        <v>254</v>
      </c>
      <c r="D16" s="9"/>
      <c r="E16" s="10"/>
      <c r="F16" s="9"/>
      <c r="G16" s="10"/>
      <c r="H16" s="21">
        <v>90</v>
      </c>
      <c r="J16" s="11">
        <v>960</v>
      </c>
      <c r="K16" s="141">
        <f t="shared" si="13"/>
        <v>2.9822712330395684</v>
      </c>
      <c r="L16" s="11"/>
      <c r="M16" s="11"/>
      <c r="N16" s="11"/>
      <c r="O16" s="11"/>
      <c r="Q16" s="101">
        <f t="shared" si="9"/>
        <v>330</v>
      </c>
      <c r="R16" s="87"/>
      <c r="S16" s="135">
        <f>AVERAGE(S5:S13)</f>
        <v>74.941850000000002</v>
      </c>
      <c r="T16" s="93"/>
      <c r="U16" s="134">
        <f>AVERAGE(U5:U13)</f>
        <v>1073.5206250000001</v>
      </c>
      <c r="V16" s="4"/>
      <c r="W16" s="99">
        <f t="shared" si="10"/>
        <v>330</v>
      </c>
      <c r="X16" s="87"/>
      <c r="Y16" s="135">
        <f>AVERAGE(Y5:Y13)</f>
        <v>72.245250000000013</v>
      </c>
      <c r="Z16" s="93"/>
      <c r="AA16" s="134">
        <f>AVERAGE(AA5:AA13)</f>
        <v>1076.8325</v>
      </c>
      <c r="AC16" s="99">
        <f t="shared" si="11"/>
        <v>330</v>
      </c>
      <c r="AD16" s="87"/>
      <c r="AE16" s="135">
        <f>AVERAGE(AE5:AE13)</f>
        <v>69.049022222222234</v>
      </c>
      <c r="AF16" s="93"/>
      <c r="AG16" s="134">
        <f>AVERAGE(AG5:AG13)</f>
        <v>1076.2016666666666</v>
      </c>
      <c r="AI16" s="99">
        <f t="shared" si="12"/>
        <v>330</v>
      </c>
      <c r="AJ16" s="87"/>
      <c r="AK16" s="135">
        <f>AVERAGE(AK5:AK13)</f>
        <v>28.83786666666667</v>
      </c>
      <c r="AL16" s="93"/>
      <c r="AM16" s="134">
        <f>AVERAGE(AM5:AM13)</f>
        <v>1052.23</v>
      </c>
      <c r="AO16" s="99"/>
      <c r="AP16" s="87"/>
      <c r="AQ16" s="135"/>
      <c r="AR16" s="93"/>
      <c r="AS16" s="134"/>
    </row>
    <row r="17" spans="2:45" x14ac:dyDescent="0.25">
      <c r="B17" s="22"/>
      <c r="C17" s="10" t="s">
        <v>255</v>
      </c>
      <c r="D17" s="9"/>
      <c r="E17" s="10"/>
      <c r="F17" s="9"/>
      <c r="G17" s="10"/>
      <c r="H17" s="21">
        <v>120</v>
      </c>
      <c r="J17" s="11">
        <v>480</v>
      </c>
      <c r="K17" s="141">
        <f t="shared" si="13"/>
        <v>2.6812412373755872</v>
      </c>
      <c r="L17" s="11"/>
      <c r="M17" s="11"/>
      <c r="N17" s="11"/>
      <c r="O17" s="11"/>
      <c r="Q17" s="101">
        <f t="shared" si="9"/>
        <v>360</v>
      </c>
      <c r="R17" s="87"/>
      <c r="S17" s="93" t="s">
        <v>239</v>
      </c>
      <c r="T17" s="93"/>
      <c r="U17" s="93" t="s">
        <v>239</v>
      </c>
      <c r="V17" s="4"/>
      <c r="W17" s="99">
        <f t="shared" si="10"/>
        <v>360</v>
      </c>
      <c r="X17" s="87"/>
      <c r="Y17" s="93" t="s">
        <v>239</v>
      </c>
      <c r="Z17" s="93"/>
      <c r="AA17" s="93" t="s">
        <v>239</v>
      </c>
      <c r="AC17" s="99">
        <f t="shared" si="11"/>
        <v>360</v>
      </c>
      <c r="AD17" s="87"/>
      <c r="AE17" s="93" t="s">
        <v>239</v>
      </c>
      <c r="AF17" s="93"/>
      <c r="AG17" s="93" t="s">
        <v>239</v>
      </c>
      <c r="AI17" s="99">
        <f t="shared" si="12"/>
        <v>360</v>
      </c>
      <c r="AJ17" s="87"/>
      <c r="AK17" s="93" t="s">
        <v>239</v>
      </c>
      <c r="AL17" s="93"/>
      <c r="AM17" s="93" t="s">
        <v>239</v>
      </c>
      <c r="AO17" s="99"/>
      <c r="AP17" s="87"/>
      <c r="AQ17" s="93"/>
      <c r="AR17" s="93"/>
      <c r="AS17" s="93"/>
    </row>
    <row r="18" spans="2:45" ht="15.75" thickBot="1" x14ac:dyDescent="0.3">
      <c r="B18" s="23"/>
      <c r="C18" s="13" t="s">
        <v>256</v>
      </c>
      <c r="D18" s="14"/>
      <c r="E18" s="13"/>
      <c r="F18" s="14"/>
      <c r="G18" s="13"/>
      <c r="H18" s="24">
        <v>150</v>
      </c>
      <c r="J18" s="15">
        <v>950</v>
      </c>
      <c r="K18" s="142">
        <f t="shared" si="13"/>
        <v>2.9777236052888476</v>
      </c>
      <c r="L18" s="15"/>
      <c r="M18" s="15"/>
      <c r="N18" s="15"/>
      <c r="O18" s="11"/>
      <c r="Q18" s="101">
        <f t="shared" si="9"/>
        <v>390</v>
      </c>
      <c r="R18" s="87"/>
      <c r="S18" s="93">
        <f>_xlfn.STDEV.S(S5:S13)</f>
        <v>0.13435525403092066</v>
      </c>
      <c r="T18" s="93"/>
      <c r="U18" s="93">
        <f>_xlfn.STDEV.S(U5:U13)</f>
        <v>19.816459327232433</v>
      </c>
      <c r="V18" s="4"/>
      <c r="W18" s="99">
        <f t="shared" si="10"/>
        <v>390</v>
      </c>
      <c r="X18" s="87"/>
      <c r="Y18" s="93">
        <f>_xlfn.STDEV.S(Y5:Y13)</f>
        <v>0.12586985342010673</v>
      </c>
      <c r="Z18" s="93"/>
      <c r="AA18" s="93">
        <f>_xlfn.STDEV.S(AA5:AA13)</f>
        <v>10.512687232917292</v>
      </c>
      <c r="AC18" s="99">
        <f t="shared" si="11"/>
        <v>390</v>
      </c>
      <c r="AD18" s="87"/>
      <c r="AE18" s="93">
        <f>_xlfn.STDEV.S(AE5:AE13)</f>
        <v>0.33295585960370772</v>
      </c>
      <c r="AF18" s="93"/>
      <c r="AG18" s="93">
        <f>_xlfn.STDEV.S(AG5:AG13)</f>
        <v>14.901559901567357</v>
      </c>
      <c r="AI18" s="99">
        <f t="shared" si="12"/>
        <v>390</v>
      </c>
      <c r="AJ18" s="87"/>
      <c r="AK18" s="93">
        <f>_xlfn.STDEV.S(AK5:AK13)</f>
        <v>0.28076623728646577</v>
      </c>
      <c r="AL18" s="93"/>
      <c r="AM18" s="93">
        <f>_xlfn.STDEV.S(AM5:AM13)</f>
        <v>7.80297739648144</v>
      </c>
      <c r="AO18" s="99"/>
      <c r="AP18" s="87"/>
      <c r="AQ18" s="93"/>
      <c r="AR18" s="93"/>
      <c r="AS18" s="93"/>
    </row>
    <row r="19" spans="2:45" ht="15.75" thickBot="1" x14ac:dyDescent="0.3">
      <c r="B19" s="44"/>
      <c r="C19" s="45" t="s">
        <v>139</v>
      </c>
      <c r="D19" s="46"/>
      <c r="E19" s="45"/>
      <c r="F19" s="46"/>
      <c r="G19" s="45"/>
      <c r="H19" s="47"/>
      <c r="J19" s="17"/>
      <c r="K19" s="17"/>
      <c r="L19" s="17"/>
      <c r="M19" s="17"/>
      <c r="N19" s="17"/>
      <c r="O19" s="7"/>
      <c r="Q19" s="49">
        <f t="shared" si="9"/>
        <v>420</v>
      </c>
      <c r="R19" s="88"/>
      <c r="S19" s="94"/>
      <c r="T19" s="94"/>
      <c r="U19" s="88"/>
      <c r="V19" s="4"/>
      <c r="W19" s="100">
        <f t="shared" si="10"/>
        <v>420</v>
      </c>
      <c r="X19" s="88"/>
      <c r="Y19" s="94"/>
      <c r="Z19" s="94"/>
      <c r="AA19" s="88"/>
      <c r="AC19" s="100">
        <f t="shared" si="11"/>
        <v>420</v>
      </c>
      <c r="AD19" s="88"/>
      <c r="AE19" s="94"/>
      <c r="AF19" s="94"/>
      <c r="AG19" s="88"/>
      <c r="AI19" s="100">
        <f t="shared" si="12"/>
        <v>420</v>
      </c>
      <c r="AJ19" s="88"/>
      <c r="AK19" s="94"/>
      <c r="AL19" s="94"/>
      <c r="AM19" s="88"/>
      <c r="AO19" s="100"/>
      <c r="AP19" s="88"/>
      <c r="AQ19" s="94"/>
      <c r="AR19" s="94"/>
      <c r="AS19" s="88"/>
    </row>
    <row r="20" spans="2:45" ht="19.5" thickBot="1" x14ac:dyDescent="0.35">
      <c r="B20" s="48"/>
      <c r="C20" s="49" t="s">
        <v>140</v>
      </c>
      <c r="D20" s="50"/>
      <c r="E20" s="49"/>
      <c r="F20" s="50"/>
      <c r="G20" s="49"/>
      <c r="H20" s="51"/>
      <c r="J20" s="7"/>
      <c r="K20" s="7" t="s">
        <v>240</v>
      </c>
      <c r="L20" s="7" t="s">
        <v>220</v>
      </c>
      <c r="M20" s="7" t="s">
        <v>239</v>
      </c>
      <c r="N20" s="7"/>
      <c r="O20" s="17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S20" s="138"/>
    </row>
    <row r="21" spans="2:45" ht="18.75" x14ac:dyDescent="0.3">
      <c r="B21" s="20">
        <v>42151</v>
      </c>
      <c r="C21" s="10" t="s">
        <v>257</v>
      </c>
      <c r="D21" s="9">
        <v>17</v>
      </c>
      <c r="E21" s="10">
        <v>69</v>
      </c>
      <c r="F21" s="9">
        <v>1065</v>
      </c>
      <c r="G21" s="10">
        <v>5</v>
      </c>
      <c r="H21" s="21">
        <v>0</v>
      </c>
      <c r="J21" s="11">
        <v>38000</v>
      </c>
      <c r="K21" s="141">
        <f t="shared" ref="K21:K26" si="14">LOG10(J21)</f>
        <v>4.5797835966168101</v>
      </c>
      <c r="L21" s="140">
        <f>AVERAGE(K21:K26)</f>
        <v>4.5911834982076423</v>
      </c>
      <c r="M21" s="141">
        <f>_xlfn.STDEV.S(K21:K26)</f>
        <v>0.14536100852439973</v>
      </c>
      <c r="N21" s="140">
        <f>$L$29-L21</f>
        <v>0.8427302547698492</v>
      </c>
      <c r="O21" s="148">
        <f>M21+$M$29</f>
        <v>0.17591614211569306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S21" s="139"/>
    </row>
    <row r="22" spans="2:45" x14ac:dyDescent="0.25">
      <c r="B22" s="22"/>
      <c r="C22" s="10" t="s">
        <v>258</v>
      </c>
      <c r="D22" s="9"/>
      <c r="E22" s="10"/>
      <c r="F22" s="9"/>
      <c r="G22" s="10"/>
      <c r="H22" s="21">
        <f>H21+30</f>
        <v>30</v>
      </c>
      <c r="J22" s="11">
        <v>51000</v>
      </c>
      <c r="K22" s="141">
        <f t="shared" si="14"/>
        <v>4.7075701760979367</v>
      </c>
      <c r="L22" s="11"/>
      <c r="M22" s="11"/>
      <c r="N22" s="11"/>
      <c r="O22" s="11"/>
    </row>
    <row r="23" spans="2:45" x14ac:dyDescent="0.25">
      <c r="B23" s="22"/>
      <c r="C23" s="10" t="s">
        <v>259</v>
      </c>
      <c r="D23" s="9"/>
      <c r="E23" s="10"/>
      <c r="F23" s="9"/>
      <c r="G23" s="10"/>
      <c r="H23" s="21">
        <f>H22+30</f>
        <v>60</v>
      </c>
      <c r="J23" s="11">
        <v>53000</v>
      </c>
      <c r="K23" s="141">
        <f t="shared" si="14"/>
        <v>4.7242758696007892</v>
      </c>
      <c r="L23" s="11"/>
      <c r="M23" s="11"/>
      <c r="N23" s="11"/>
      <c r="O23" s="11"/>
    </row>
    <row r="24" spans="2:45" x14ac:dyDescent="0.25">
      <c r="B24" s="22"/>
      <c r="C24" s="10" t="s">
        <v>260</v>
      </c>
      <c r="D24" s="9"/>
      <c r="E24" s="10"/>
      <c r="F24" s="9"/>
      <c r="G24" s="10"/>
      <c r="H24" s="21">
        <f>H23+30</f>
        <v>90</v>
      </c>
      <c r="J24" s="11">
        <v>38000</v>
      </c>
      <c r="K24" s="141">
        <f t="shared" si="14"/>
        <v>4.5797835966168101</v>
      </c>
      <c r="L24" s="11"/>
      <c r="M24" s="11"/>
      <c r="N24" s="11"/>
      <c r="O24" s="11"/>
    </row>
    <row r="25" spans="2:45" x14ac:dyDescent="0.25">
      <c r="B25" s="22"/>
      <c r="C25" s="10" t="s">
        <v>261</v>
      </c>
      <c r="D25" s="9"/>
      <c r="E25" s="10"/>
      <c r="F25" s="9"/>
      <c r="G25" s="10"/>
      <c r="H25" s="21">
        <f>H24+30</f>
        <v>120</v>
      </c>
      <c r="J25" s="11">
        <v>43000</v>
      </c>
      <c r="K25" s="141">
        <f t="shared" si="14"/>
        <v>4.6334684555795862</v>
      </c>
      <c r="L25" s="11"/>
      <c r="M25" s="11"/>
      <c r="N25" s="11"/>
      <c r="O25" s="11"/>
    </row>
    <row r="26" spans="2:45" ht="15.75" thickBot="1" x14ac:dyDescent="0.3">
      <c r="B26" s="23"/>
      <c r="C26" s="13" t="s">
        <v>262</v>
      </c>
      <c r="D26" s="14"/>
      <c r="E26" s="13"/>
      <c r="F26" s="14"/>
      <c r="G26" s="13"/>
      <c r="H26" s="24">
        <f>H25+30</f>
        <v>150</v>
      </c>
      <c r="J26" s="15">
        <v>21000</v>
      </c>
      <c r="K26" s="142">
        <f t="shared" si="14"/>
        <v>4.3222192947339195</v>
      </c>
      <c r="L26" s="15"/>
      <c r="M26" s="15"/>
      <c r="N26" s="15"/>
      <c r="O26" s="15"/>
    </row>
    <row r="27" spans="2:45" ht="15.75" thickBot="1" x14ac:dyDescent="0.3">
      <c r="B27" s="44"/>
      <c r="C27" s="45" t="s">
        <v>263</v>
      </c>
      <c r="D27" s="46"/>
      <c r="E27" s="45"/>
      <c r="F27" s="46"/>
      <c r="G27" s="45"/>
      <c r="H27" s="47"/>
      <c r="J27" s="17"/>
      <c r="K27" s="17"/>
      <c r="L27" s="17"/>
      <c r="M27" s="17"/>
      <c r="N27" s="17"/>
      <c r="O27" s="17"/>
    </row>
    <row r="28" spans="2:45" ht="15.75" thickBot="1" x14ac:dyDescent="0.3">
      <c r="B28" s="48"/>
      <c r="C28" s="49" t="s">
        <v>264</v>
      </c>
      <c r="D28" s="50"/>
      <c r="E28" s="49"/>
      <c r="F28" s="50"/>
      <c r="G28" s="49"/>
      <c r="H28" s="51"/>
      <c r="J28" s="7"/>
      <c r="K28" s="7" t="s">
        <v>240</v>
      </c>
      <c r="L28" s="7" t="s">
        <v>220</v>
      </c>
      <c r="M28" s="7" t="s">
        <v>239</v>
      </c>
      <c r="N28" s="7"/>
      <c r="O28" s="7"/>
    </row>
    <row r="29" spans="2:45" x14ac:dyDescent="0.25">
      <c r="B29" s="20">
        <v>42151</v>
      </c>
      <c r="C29" s="10" t="s">
        <v>141</v>
      </c>
      <c r="D29" s="9">
        <v>18</v>
      </c>
      <c r="E29" s="10" t="s">
        <v>50</v>
      </c>
      <c r="F29" s="9">
        <v>1065</v>
      </c>
      <c r="G29" s="10">
        <v>5</v>
      </c>
      <c r="H29" s="21">
        <v>0</v>
      </c>
      <c r="J29" s="11">
        <v>253000</v>
      </c>
      <c r="K29" s="141">
        <f t="shared" ref="K29:K34" si="15">LOG10(J29)</f>
        <v>5.4031205211758175</v>
      </c>
      <c r="L29" s="140">
        <f>AVERAGE(K29:K34)</f>
        <v>5.4339137529774915</v>
      </c>
      <c r="M29" s="140">
        <f>_xlfn.STDEV.S(K29:K34)</f>
        <v>3.0555133591293328E-2</v>
      </c>
      <c r="N29" s="140"/>
      <c r="O29" s="140"/>
    </row>
    <row r="30" spans="2:45" x14ac:dyDescent="0.25">
      <c r="B30" s="22"/>
      <c r="C30" s="10" t="s">
        <v>142</v>
      </c>
      <c r="D30" s="9"/>
      <c r="E30" s="10"/>
      <c r="F30" s="9"/>
      <c r="G30" s="10"/>
      <c r="H30" s="21">
        <f>H29+30</f>
        <v>30</v>
      </c>
      <c r="J30" s="11">
        <v>266000</v>
      </c>
      <c r="K30" s="141">
        <f t="shared" si="15"/>
        <v>5.424881636631067</v>
      </c>
      <c r="L30" s="11"/>
      <c r="M30" s="11"/>
      <c r="N30" s="11"/>
      <c r="O30" s="11"/>
    </row>
    <row r="31" spans="2:45" x14ac:dyDescent="0.25">
      <c r="B31" s="22"/>
      <c r="C31" s="10" t="s">
        <v>143</v>
      </c>
      <c r="D31" s="9"/>
      <c r="E31" s="10"/>
      <c r="F31" s="9"/>
      <c r="G31" s="10"/>
      <c r="H31" s="21">
        <f>H30+30</f>
        <v>60</v>
      </c>
      <c r="I31" s="26" t="s">
        <v>144</v>
      </c>
      <c r="J31" s="11">
        <v>264000</v>
      </c>
      <c r="K31" s="141">
        <f t="shared" si="15"/>
        <v>5.4216039268698308</v>
      </c>
      <c r="L31" s="11"/>
      <c r="M31" s="11"/>
      <c r="N31" s="11"/>
      <c r="O31" s="11"/>
      <c r="P31" s="26"/>
    </row>
    <row r="32" spans="2:45" x14ac:dyDescent="0.25">
      <c r="B32" s="22"/>
      <c r="C32" s="10" t="s">
        <v>145</v>
      </c>
      <c r="D32" s="9"/>
      <c r="E32" s="10"/>
      <c r="F32" s="9"/>
      <c r="G32" s="10"/>
      <c r="H32" s="21">
        <f>H31+30</f>
        <v>90</v>
      </c>
      <c r="I32" s="33"/>
      <c r="J32" s="11">
        <v>270000</v>
      </c>
      <c r="K32" s="141">
        <f t="shared" si="15"/>
        <v>5.4313637641589869</v>
      </c>
      <c r="L32" s="11"/>
      <c r="M32" s="11"/>
      <c r="N32" s="11"/>
      <c r="O32" s="11"/>
      <c r="P32" s="33"/>
    </row>
    <row r="33" spans="2:16" x14ac:dyDescent="0.25">
      <c r="B33" s="22"/>
      <c r="C33" s="10" t="s">
        <v>146</v>
      </c>
      <c r="D33" s="9"/>
      <c r="E33" s="10"/>
      <c r="F33" s="9"/>
      <c r="G33" s="10"/>
      <c r="H33" s="21">
        <f>H32+30</f>
        <v>120</v>
      </c>
      <c r="I33" s="33"/>
      <c r="J33" s="11">
        <v>269000</v>
      </c>
      <c r="K33" s="141">
        <f t="shared" si="15"/>
        <v>5.4297522800024076</v>
      </c>
      <c r="L33" s="11"/>
      <c r="M33" s="11"/>
      <c r="N33" s="11"/>
      <c r="O33" s="11"/>
      <c r="P33" s="33"/>
    </row>
    <row r="34" spans="2:16" ht="15.75" thickBot="1" x14ac:dyDescent="0.3">
      <c r="B34" s="39"/>
      <c r="C34" s="13" t="s">
        <v>147</v>
      </c>
      <c r="D34" s="40"/>
      <c r="E34" s="41"/>
      <c r="F34" s="40"/>
      <c r="G34" s="41"/>
      <c r="H34" s="24">
        <f>H33+30</f>
        <v>150</v>
      </c>
      <c r="I34" s="33"/>
      <c r="J34" s="15">
        <v>311000</v>
      </c>
      <c r="K34" s="142">
        <f t="shared" si="15"/>
        <v>5.4927603890268379</v>
      </c>
      <c r="L34" s="15"/>
      <c r="M34" s="15"/>
      <c r="N34" s="15"/>
      <c r="O34" s="11"/>
      <c r="P34" s="33"/>
    </row>
    <row r="35" spans="2:16" ht="15.75" thickBot="1" x14ac:dyDescent="0.3">
      <c r="B35" s="52"/>
      <c r="C35" s="45" t="s">
        <v>148</v>
      </c>
      <c r="D35" s="53"/>
      <c r="E35" s="54"/>
      <c r="F35" s="53"/>
      <c r="G35" s="54"/>
      <c r="H35" s="47"/>
      <c r="I35" s="33"/>
      <c r="J35" s="25"/>
      <c r="K35" s="25"/>
      <c r="L35" s="25"/>
      <c r="M35" s="25"/>
      <c r="N35" s="25"/>
      <c r="O35" s="7"/>
      <c r="P35" s="33"/>
    </row>
    <row r="36" spans="2:16" ht="15.75" thickBot="1" x14ac:dyDescent="0.3">
      <c r="B36" s="55"/>
      <c r="C36" s="49" t="s">
        <v>149</v>
      </c>
      <c r="D36" s="56"/>
      <c r="E36" s="57"/>
      <c r="F36" s="56"/>
      <c r="G36" s="57"/>
      <c r="H36" s="51"/>
      <c r="I36" s="33"/>
      <c r="J36" s="7"/>
      <c r="K36" s="7"/>
      <c r="L36" s="7"/>
      <c r="M36" s="7"/>
      <c r="N36" s="7"/>
      <c r="O36" s="17"/>
      <c r="P36" s="33"/>
    </row>
    <row r="37" spans="2:16" x14ac:dyDescent="0.25">
      <c r="J37" s="4"/>
      <c r="K37" s="4"/>
      <c r="L37" s="4"/>
      <c r="M37" s="4"/>
      <c r="N37" s="4"/>
      <c r="O37" s="4" t="s">
        <v>246</v>
      </c>
    </row>
    <row r="38" spans="2:16" x14ac:dyDescent="0.25">
      <c r="O38" s="147">
        <f>AVERAGE(O5,O13,O21,O29)</f>
        <v>0.19060260575710988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zoomScaleNormal="100" workbookViewId="0"/>
  </sheetViews>
  <sheetFormatPr defaultRowHeight="15" x14ac:dyDescent="0.25"/>
  <cols>
    <col min="2" max="2" width="14.140625" customWidth="1"/>
    <col min="3" max="3" width="15.42578125" customWidth="1"/>
    <col min="4" max="4" width="20" customWidth="1"/>
    <col min="5" max="5" width="25" customWidth="1"/>
    <col min="6" max="6" width="20.5703125" customWidth="1"/>
    <col min="7" max="7" width="15.140625" customWidth="1"/>
    <col min="8" max="8" width="24.140625" customWidth="1"/>
    <col min="10" max="10" width="19.42578125" customWidth="1"/>
    <col min="11" max="11" width="31.28515625" customWidth="1"/>
    <col min="12" max="12" width="28.28515625" customWidth="1"/>
    <col min="13" max="13" width="20.140625" customWidth="1"/>
    <col min="14" max="14" width="12" customWidth="1"/>
    <col min="15" max="15" width="11.85546875" customWidth="1"/>
  </cols>
  <sheetData>
    <row r="1" spans="1:15" ht="23.25" x14ac:dyDescent="0.35">
      <c r="A1" s="76"/>
    </row>
    <row r="2" spans="1:15" ht="23.25" x14ac:dyDescent="0.35">
      <c r="B2" s="43" t="s">
        <v>309</v>
      </c>
      <c r="J2" s="4"/>
      <c r="K2" s="4"/>
      <c r="L2" s="4"/>
      <c r="M2" s="4"/>
      <c r="N2" s="4"/>
      <c r="O2" s="4"/>
    </row>
    <row r="3" spans="1:15" ht="15.75" thickBot="1" x14ac:dyDescent="0.3">
      <c r="J3" s="4"/>
      <c r="K3" s="4"/>
      <c r="L3" s="4"/>
      <c r="M3" s="4"/>
      <c r="N3" s="4"/>
      <c r="O3" s="4"/>
    </row>
    <row r="4" spans="1:15" ht="15.75" thickBot="1" x14ac:dyDescent="0.3">
      <c r="B4" s="5" t="s">
        <v>18</v>
      </c>
      <c r="C4" s="6" t="s">
        <v>19</v>
      </c>
      <c r="D4" s="5" t="s">
        <v>20</v>
      </c>
      <c r="E4" s="6" t="s">
        <v>21</v>
      </c>
      <c r="F4" s="5" t="s">
        <v>22</v>
      </c>
      <c r="G4" s="6" t="s">
        <v>23</v>
      </c>
      <c r="H4" s="5" t="s">
        <v>24</v>
      </c>
      <c r="J4" s="7" t="s">
        <v>57</v>
      </c>
      <c r="K4" s="7" t="s">
        <v>240</v>
      </c>
      <c r="L4" s="7" t="s">
        <v>241</v>
      </c>
      <c r="M4" s="7" t="s">
        <v>242</v>
      </c>
      <c r="N4" s="7" t="s">
        <v>218</v>
      </c>
      <c r="O4" s="25" t="s">
        <v>243</v>
      </c>
    </row>
    <row r="5" spans="1:15" x14ac:dyDescent="0.25">
      <c r="B5" s="20">
        <v>42157</v>
      </c>
      <c r="C5" s="10" t="s">
        <v>150</v>
      </c>
      <c r="D5" s="9">
        <v>19</v>
      </c>
      <c r="E5" s="10">
        <v>75</v>
      </c>
      <c r="F5" s="9">
        <v>1065</v>
      </c>
      <c r="G5" s="10">
        <v>5</v>
      </c>
      <c r="H5" s="21">
        <v>0</v>
      </c>
      <c r="J5" s="163">
        <v>5</v>
      </c>
      <c r="K5" s="141">
        <f t="shared" ref="K5:K10" si="0">LOG10(J5)</f>
        <v>0.69897000433601886</v>
      </c>
      <c r="L5" s="140">
        <f>AVERAGE(K5:K10)</f>
        <v>0.42958196663953757</v>
      </c>
      <c r="M5" s="140">
        <f>_xlfn.STDEV.S(K7:K10)</f>
        <v>0.29872081761869496</v>
      </c>
      <c r="N5" s="140">
        <f>$L$29-L5</f>
        <v>4.9928771880076006</v>
      </c>
      <c r="O5" s="148">
        <f>M5+$M$29</f>
        <v>0.32198507513692748</v>
      </c>
    </row>
    <row r="6" spans="1:15" x14ac:dyDescent="0.25">
      <c r="B6" s="22"/>
      <c r="C6" s="10" t="s">
        <v>151</v>
      </c>
      <c r="D6" s="9"/>
      <c r="E6" s="10"/>
      <c r="F6" s="9"/>
      <c r="G6" s="10"/>
      <c r="H6" s="21">
        <f>H5+30</f>
        <v>30</v>
      </c>
      <c r="J6" s="164">
        <v>1.8</v>
      </c>
      <c r="K6" s="141">
        <f t="shared" si="0"/>
        <v>0.25527250510330607</v>
      </c>
      <c r="L6" s="11"/>
      <c r="M6" s="11"/>
      <c r="N6" s="11"/>
      <c r="O6" s="11"/>
    </row>
    <row r="7" spans="1:15" x14ac:dyDescent="0.25">
      <c r="B7" s="22"/>
      <c r="C7" s="10" t="s">
        <v>152</v>
      </c>
      <c r="D7" s="9"/>
      <c r="E7" s="10"/>
      <c r="F7" s="9"/>
      <c r="G7" s="10"/>
      <c r="H7" s="21">
        <f t="shared" ref="H7:H12" si="1">H6+30</f>
        <v>60</v>
      </c>
      <c r="J7" s="164">
        <v>7</v>
      </c>
      <c r="K7" s="141">
        <f t="shared" si="0"/>
        <v>0.84509804001425681</v>
      </c>
      <c r="L7" s="11"/>
      <c r="M7" s="11"/>
      <c r="N7" s="11"/>
      <c r="O7" s="11"/>
    </row>
    <row r="8" spans="1:15" x14ac:dyDescent="0.25">
      <c r="B8" s="22"/>
      <c r="C8" s="10" t="s">
        <v>153</v>
      </c>
      <c r="D8" s="9"/>
      <c r="E8" s="10"/>
      <c r="F8" s="9"/>
      <c r="G8" s="10"/>
      <c r="H8" s="21">
        <f t="shared" si="1"/>
        <v>90</v>
      </c>
      <c r="J8" s="164">
        <v>2</v>
      </c>
      <c r="K8" s="141">
        <f t="shared" si="0"/>
        <v>0.3010299956639812</v>
      </c>
      <c r="L8" s="11"/>
      <c r="M8" s="11"/>
      <c r="N8" s="11"/>
      <c r="O8" s="11"/>
    </row>
    <row r="9" spans="1:15" x14ac:dyDescent="0.25">
      <c r="B9" s="22"/>
      <c r="C9" s="10" t="s">
        <v>154</v>
      </c>
      <c r="D9" s="9"/>
      <c r="E9" s="10"/>
      <c r="F9" s="9"/>
      <c r="G9" s="10"/>
      <c r="H9" s="21">
        <f t="shared" si="1"/>
        <v>120</v>
      </c>
      <c r="J9" s="164">
        <v>1.5</v>
      </c>
      <c r="K9" s="141">
        <f t="shared" si="0"/>
        <v>0.17609125905568124</v>
      </c>
      <c r="L9" s="11"/>
      <c r="M9" s="11"/>
      <c r="N9" s="11"/>
      <c r="O9" s="11"/>
    </row>
    <row r="10" spans="1:15" ht="15.75" thickBot="1" x14ac:dyDescent="0.3">
      <c r="B10" s="22"/>
      <c r="C10" s="10" t="s">
        <v>155</v>
      </c>
      <c r="D10" s="9"/>
      <c r="E10" s="10"/>
      <c r="F10" s="9"/>
      <c r="G10" s="10"/>
      <c r="H10" s="21">
        <f t="shared" si="1"/>
        <v>150</v>
      </c>
      <c r="J10" s="165">
        <v>2</v>
      </c>
      <c r="K10" s="142">
        <f t="shared" si="0"/>
        <v>0.3010299956639812</v>
      </c>
      <c r="L10" s="15"/>
      <c r="M10" s="15"/>
      <c r="N10" s="15"/>
      <c r="O10" s="15"/>
    </row>
    <row r="11" spans="1:15" ht="15.75" thickBot="1" x14ac:dyDescent="0.3">
      <c r="B11" s="44"/>
      <c r="C11" s="45" t="s">
        <v>156</v>
      </c>
      <c r="D11" s="46"/>
      <c r="E11" s="45"/>
      <c r="F11" s="46"/>
      <c r="G11" s="45"/>
      <c r="H11" s="47">
        <f t="shared" si="1"/>
        <v>180</v>
      </c>
      <c r="J11" s="17"/>
      <c r="K11" s="17"/>
      <c r="L11" s="17"/>
      <c r="M11" s="17"/>
      <c r="N11" s="17"/>
      <c r="O11" s="17"/>
    </row>
    <row r="12" spans="1:15" ht="15.75" thickBot="1" x14ac:dyDescent="0.3">
      <c r="B12" s="48"/>
      <c r="C12" s="49" t="s">
        <v>157</v>
      </c>
      <c r="D12" s="50"/>
      <c r="E12" s="49"/>
      <c r="F12" s="50"/>
      <c r="G12" s="49"/>
      <c r="H12" s="51">
        <f t="shared" si="1"/>
        <v>210</v>
      </c>
      <c r="J12" s="7"/>
      <c r="K12" s="7" t="s">
        <v>240</v>
      </c>
      <c r="L12" s="7" t="s">
        <v>220</v>
      </c>
      <c r="M12" s="7" t="s">
        <v>239</v>
      </c>
      <c r="N12" s="7"/>
      <c r="O12" s="7"/>
    </row>
    <row r="13" spans="1:15" x14ac:dyDescent="0.25">
      <c r="B13" s="20">
        <v>42157</v>
      </c>
      <c r="C13" s="10" t="s">
        <v>265</v>
      </c>
      <c r="D13" s="9">
        <v>20</v>
      </c>
      <c r="E13" s="10">
        <v>72</v>
      </c>
      <c r="F13" s="9">
        <v>1065</v>
      </c>
      <c r="G13" s="10">
        <v>5</v>
      </c>
      <c r="H13" s="21">
        <v>0</v>
      </c>
      <c r="J13" s="11">
        <v>1110</v>
      </c>
      <c r="K13" s="141">
        <f t="shared" ref="K13:K18" si="2">LOG10(J13)</f>
        <v>3.0453229787866576</v>
      </c>
      <c r="L13" s="140">
        <f>AVERAGE(K13:K18)</f>
        <v>3.1070281966702189</v>
      </c>
      <c r="M13" s="140">
        <f>_xlfn.STDEV.S(K13:K18)</f>
        <v>5.0089709502281629E-2</v>
      </c>
      <c r="N13" s="140">
        <f>$L$29-L13</f>
        <v>2.3154309579769197</v>
      </c>
      <c r="O13" s="148">
        <f>M13+$M$29</f>
        <v>7.3353967020514138E-2</v>
      </c>
    </row>
    <row r="14" spans="1:15" x14ac:dyDescent="0.25">
      <c r="B14" s="22"/>
      <c r="C14" s="10" t="s">
        <v>266</v>
      </c>
      <c r="D14" s="9"/>
      <c r="E14" s="10"/>
      <c r="F14" s="9"/>
      <c r="G14" s="10"/>
      <c r="H14" s="21">
        <v>30</v>
      </c>
      <c r="J14" s="11">
        <v>1210</v>
      </c>
      <c r="K14" s="141">
        <f t="shared" si="2"/>
        <v>3.0827853703164503</v>
      </c>
      <c r="L14" s="11"/>
      <c r="M14" s="11"/>
      <c r="N14" s="11"/>
      <c r="O14" s="11"/>
    </row>
    <row r="15" spans="1:15" x14ac:dyDescent="0.25">
      <c r="B15" s="22"/>
      <c r="C15" s="10" t="s">
        <v>267</v>
      </c>
      <c r="D15" s="9"/>
      <c r="E15" s="10"/>
      <c r="F15" s="9"/>
      <c r="G15" s="10"/>
      <c r="H15" s="21">
        <v>60</v>
      </c>
      <c r="J15" s="11">
        <v>1190</v>
      </c>
      <c r="K15" s="141">
        <f t="shared" si="2"/>
        <v>3.0755469613925306</v>
      </c>
      <c r="L15" s="11"/>
      <c r="M15" s="11"/>
      <c r="N15" s="11"/>
      <c r="O15" s="11"/>
    </row>
    <row r="16" spans="1:15" x14ac:dyDescent="0.25">
      <c r="B16" s="22"/>
      <c r="C16" s="10" t="s">
        <v>268</v>
      </c>
      <c r="D16" s="9"/>
      <c r="E16" s="10"/>
      <c r="F16" s="9"/>
      <c r="G16" s="10"/>
      <c r="H16" s="21">
        <v>90</v>
      </c>
      <c r="J16" s="11">
        <v>1380</v>
      </c>
      <c r="K16" s="141">
        <f t="shared" si="2"/>
        <v>3.1398790864012365</v>
      </c>
      <c r="L16" s="11"/>
      <c r="M16" s="11"/>
      <c r="N16" s="11"/>
      <c r="O16" s="11"/>
    </row>
    <row r="17" spans="2:15" x14ac:dyDescent="0.25">
      <c r="B17" s="22"/>
      <c r="C17" s="10" t="s">
        <v>269</v>
      </c>
      <c r="D17" s="9"/>
      <c r="E17" s="10"/>
      <c r="F17" s="9"/>
      <c r="G17" s="10"/>
      <c r="H17" s="21">
        <v>120</v>
      </c>
      <c r="J17" s="11">
        <v>1300</v>
      </c>
      <c r="K17" s="141">
        <f t="shared" si="2"/>
        <v>3.1139433523068369</v>
      </c>
      <c r="L17" s="11"/>
      <c r="M17" s="11"/>
      <c r="N17" s="11"/>
      <c r="O17" s="11"/>
    </row>
    <row r="18" spans="2:15" ht="15.75" thickBot="1" x14ac:dyDescent="0.3">
      <c r="B18" s="22"/>
      <c r="C18" s="10" t="s">
        <v>270</v>
      </c>
      <c r="D18" s="9"/>
      <c r="E18" s="10"/>
      <c r="F18" s="9"/>
      <c r="G18" s="10"/>
      <c r="H18" s="21">
        <v>150</v>
      </c>
      <c r="J18" s="15">
        <v>1530</v>
      </c>
      <c r="K18" s="142">
        <f t="shared" si="2"/>
        <v>3.1846914308175989</v>
      </c>
      <c r="L18" s="15"/>
      <c r="M18" s="15"/>
      <c r="N18" s="15"/>
      <c r="O18" s="11"/>
    </row>
    <row r="19" spans="2:15" ht="15.75" thickBot="1" x14ac:dyDescent="0.3">
      <c r="B19" s="44"/>
      <c r="C19" s="45" t="s">
        <v>271</v>
      </c>
      <c r="D19" s="46"/>
      <c r="E19" s="45"/>
      <c r="F19" s="46"/>
      <c r="G19" s="45"/>
      <c r="H19" s="47"/>
      <c r="J19" s="17"/>
      <c r="K19" s="17"/>
      <c r="L19" s="17"/>
      <c r="M19" s="17"/>
      <c r="N19" s="17"/>
      <c r="O19" s="7"/>
    </row>
    <row r="20" spans="2:15" ht="15.75" thickBot="1" x14ac:dyDescent="0.3">
      <c r="B20" s="48"/>
      <c r="C20" s="49" t="s">
        <v>272</v>
      </c>
      <c r="D20" s="50"/>
      <c r="E20" s="49"/>
      <c r="F20" s="50"/>
      <c r="G20" s="49"/>
      <c r="H20" s="51"/>
      <c r="J20" s="7"/>
      <c r="K20" s="7" t="s">
        <v>240</v>
      </c>
      <c r="L20" s="7" t="s">
        <v>220</v>
      </c>
      <c r="M20" s="7" t="s">
        <v>239</v>
      </c>
      <c r="N20" s="7"/>
      <c r="O20" s="17"/>
    </row>
    <row r="21" spans="2:15" x14ac:dyDescent="0.25">
      <c r="B21" s="20">
        <v>42157</v>
      </c>
      <c r="C21" s="10" t="s">
        <v>273</v>
      </c>
      <c r="D21" s="9">
        <v>21</v>
      </c>
      <c r="E21" s="10">
        <v>69</v>
      </c>
      <c r="F21" s="9">
        <v>1065</v>
      </c>
      <c r="G21" s="10">
        <v>5</v>
      </c>
      <c r="H21" s="21">
        <v>0</v>
      </c>
      <c r="J21" s="11">
        <v>23500</v>
      </c>
      <c r="K21" s="141">
        <f t="shared" ref="K21:K26" si="3">LOG10(J21)</f>
        <v>4.3710678622717358</v>
      </c>
      <c r="L21" s="140">
        <f>AVERAGE(K21:K26)</f>
        <v>4.4034194613892614</v>
      </c>
      <c r="M21" s="141">
        <f>_xlfn.STDEV.S(K21:K26)</f>
        <v>2.9701102195722837E-2</v>
      </c>
      <c r="N21" s="140">
        <f>$L$29-L21</f>
        <v>1.0190396932578771</v>
      </c>
      <c r="O21" s="148">
        <f>M21+$M$29</f>
        <v>5.296535971395535E-2</v>
      </c>
    </row>
    <row r="22" spans="2:15" x14ac:dyDescent="0.25">
      <c r="B22" s="22"/>
      <c r="C22" s="10" t="s">
        <v>274</v>
      </c>
      <c r="D22" s="9"/>
      <c r="E22" s="10"/>
      <c r="F22" s="9"/>
      <c r="G22" s="10"/>
      <c r="H22" s="21">
        <f>H21+30</f>
        <v>30</v>
      </c>
      <c r="J22" s="11">
        <v>26700</v>
      </c>
      <c r="K22" s="141">
        <f t="shared" si="3"/>
        <v>4.426511261364575</v>
      </c>
      <c r="L22" s="11"/>
      <c r="M22" s="11"/>
      <c r="N22" s="11"/>
      <c r="O22" s="11"/>
    </row>
    <row r="23" spans="2:15" x14ac:dyDescent="0.25">
      <c r="B23" s="22"/>
      <c r="C23" s="10" t="s">
        <v>275</v>
      </c>
      <c r="D23" s="9"/>
      <c r="E23" s="10"/>
      <c r="F23" s="9"/>
      <c r="G23" s="10"/>
      <c r="H23" s="21">
        <f t="shared" ref="H23:H28" si="4">H22+30</f>
        <v>60</v>
      </c>
      <c r="J23" s="11">
        <v>23500</v>
      </c>
      <c r="K23" s="141">
        <f t="shared" si="3"/>
        <v>4.3710678622717358</v>
      </c>
      <c r="L23" s="11"/>
      <c r="M23" s="11"/>
      <c r="N23" s="11"/>
      <c r="O23" s="11"/>
    </row>
    <row r="24" spans="2:15" x14ac:dyDescent="0.25">
      <c r="B24" s="22"/>
      <c r="C24" s="10" t="s">
        <v>276</v>
      </c>
      <c r="D24" s="9"/>
      <c r="E24" s="10"/>
      <c r="F24" s="9"/>
      <c r="G24" s="10"/>
      <c r="H24" s="21">
        <f t="shared" si="4"/>
        <v>90</v>
      </c>
      <c r="J24" s="11">
        <v>27200</v>
      </c>
      <c r="K24" s="141">
        <f t="shared" si="3"/>
        <v>4.4345689040341991</v>
      </c>
      <c r="L24" s="11"/>
      <c r="M24" s="11"/>
      <c r="N24" s="11"/>
      <c r="O24" s="11"/>
    </row>
    <row r="25" spans="2:15" x14ac:dyDescent="0.25">
      <c r="B25" s="22"/>
      <c r="C25" s="10" t="s">
        <v>277</v>
      </c>
      <c r="D25" s="9"/>
      <c r="E25" s="10"/>
      <c r="F25" s="9"/>
      <c r="G25" s="10"/>
      <c r="H25" s="21">
        <f t="shared" si="4"/>
        <v>120</v>
      </c>
      <c r="J25" s="11">
        <v>24500</v>
      </c>
      <c r="K25" s="141">
        <f t="shared" si="3"/>
        <v>4.3891660843645326</v>
      </c>
      <c r="L25" s="11"/>
      <c r="M25" s="11"/>
      <c r="N25" s="11"/>
      <c r="O25" s="11"/>
    </row>
    <row r="26" spans="2:15" ht="15.75" thickBot="1" x14ac:dyDescent="0.3">
      <c r="B26" s="22"/>
      <c r="C26" s="10" t="s">
        <v>278</v>
      </c>
      <c r="D26" s="9"/>
      <c r="E26" s="10"/>
      <c r="F26" s="9"/>
      <c r="G26" s="10"/>
      <c r="H26" s="21">
        <f t="shared" si="4"/>
        <v>150</v>
      </c>
      <c r="J26" s="15">
        <v>26800</v>
      </c>
      <c r="K26" s="142">
        <f t="shared" si="3"/>
        <v>4.4281347940287885</v>
      </c>
      <c r="L26" s="15"/>
      <c r="M26" s="15"/>
      <c r="N26" s="15"/>
      <c r="O26" s="15"/>
    </row>
    <row r="27" spans="2:15" ht="15.75" thickBot="1" x14ac:dyDescent="0.3">
      <c r="B27" s="44"/>
      <c r="C27" s="45" t="s">
        <v>279</v>
      </c>
      <c r="D27" s="46"/>
      <c r="E27" s="45"/>
      <c r="F27" s="46"/>
      <c r="G27" s="45"/>
      <c r="H27" s="47">
        <f t="shared" si="4"/>
        <v>180</v>
      </c>
      <c r="J27" s="17"/>
      <c r="K27" s="17"/>
      <c r="L27" s="17"/>
      <c r="M27" s="17"/>
      <c r="N27" s="17"/>
      <c r="O27" s="17"/>
    </row>
    <row r="28" spans="2:15" ht="15.75" thickBot="1" x14ac:dyDescent="0.3">
      <c r="B28" s="48"/>
      <c r="C28" s="49" t="s">
        <v>280</v>
      </c>
      <c r="D28" s="50"/>
      <c r="E28" s="49"/>
      <c r="F28" s="50"/>
      <c r="G28" s="49"/>
      <c r="H28" s="51">
        <f t="shared" si="4"/>
        <v>210</v>
      </c>
      <c r="J28" s="7"/>
      <c r="K28" s="7" t="s">
        <v>240</v>
      </c>
      <c r="L28" s="7" t="s">
        <v>220</v>
      </c>
      <c r="M28" s="7" t="s">
        <v>239</v>
      </c>
      <c r="N28" s="7"/>
      <c r="O28" s="7"/>
    </row>
    <row r="29" spans="2:15" x14ac:dyDescent="0.25">
      <c r="B29" s="20">
        <v>42157</v>
      </c>
      <c r="C29" s="10" t="s">
        <v>158</v>
      </c>
      <c r="D29" s="9">
        <v>22</v>
      </c>
      <c r="E29" s="10" t="s">
        <v>50</v>
      </c>
      <c r="F29" s="9">
        <v>1065</v>
      </c>
      <c r="G29" s="10">
        <v>5</v>
      </c>
      <c r="H29" s="21">
        <v>0</v>
      </c>
      <c r="J29" s="11">
        <v>246000</v>
      </c>
      <c r="K29" s="141">
        <f t="shared" ref="K29:K34" si="5">LOG10(J29)</f>
        <v>5.3909351071033793</v>
      </c>
      <c r="L29" s="140">
        <f>AVERAGE(K29:K34)</f>
        <v>5.4224591546471386</v>
      </c>
      <c r="M29" s="140">
        <f>_xlfn.STDEV.S(K29:K34)</f>
        <v>2.3264257518232512E-2</v>
      </c>
      <c r="N29" s="140"/>
      <c r="O29" s="140"/>
    </row>
    <row r="30" spans="2:15" x14ac:dyDescent="0.25">
      <c r="B30" s="22"/>
      <c r="C30" s="10" t="s">
        <v>159</v>
      </c>
      <c r="D30" s="9"/>
      <c r="E30" s="10"/>
      <c r="F30" s="9"/>
      <c r="G30" s="10"/>
      <c r="H30" s="21">
        <f>H29+30</f>
        <v>30</v>
      </c>
      <c r="J30" s="11">
        <v>272000</v>
      </c>
      <c r="K30" s="141">
        <f t="shared" si="5"/>
        <v>5.4345689040341991</v>
      </c>
      <c r="L30" s="11"/>
      <c r="M30" s="11"/>
      <c r="N30" s="11"/>
      <c r="O30" s="11"/>
    </row>
    <row r="31" spans="2:15" x14ac:dyDescent="0.25">
      <c r="B31" s="22"/>
      <c r="C31" s="10" t="s">
        <v>160</v>
      </c>
      <c r="D31" s="9"/>
      <c r="E31" s="10"/>
      <c r="F31" s="9"/>
      <c r="G31" s="10"/>
      <c r="H31" s="21">
        <f t="shared" ref="H31:H36" si="6">H30+30</f>
        <v>60</v>
      </c>
      <c r="I31" s="26" t="s">
        <v>53</v>
      </c>
      <c r="J31" s="11">
        <v>274000</v>
      </c>
      <c r="K31" s="141">
        <f t="shared" si="5"/>
        <v>5.4377505628203879</v>
      </c>
      <c r="L31" s="11"/>
      <c r="M31" s="11"/>
      <c r="N31" s="11"/>
      <c r="O31" s="11"/>
    </row>
    <row r="32" spans="2:15" x14ac:dyDescent="0.25">
      <c r="B32" s="22"/>
      <c r="C32" s="10" t="s">
        <v>161</v>
      </c>
      <c r="D32" s="9"/>
      <c r="E32" s="10"/>
      <c r="F32" s="9"/>
      <c r="G32" s="10"/>
      <c r="H32" s="21">
        <f t="shared" si="6"/>
        <v>90</v>
      </c>
      <c r="J32" s="11">
        <v>248000</v>
      </c>
      <c r="K32" s="141">
        <f t="shared" si="5"/>
        <v>5.394451680826216</v>
      </c>
      <c r="L32" s="11"/>
      <c r="M32" s="11"/>
      <c r="N32" s="11"/>
      <c r="O32" s="11"/>
    </row>
    <row r="33" spans="2:15" x14ac:dyDescent="0.25">
      <c r="B33" s="22"/>
      <c r="C33" s="10" t="s">
        <v>162</v>
      </c>
      <c r="D33" s="9"/>
      <c r="E33" s="10"/>
      <c r="F33" s="9"/>
      <c r="G33" s="10"/>
      <c r="H33" s="21">
        <f t="shared" si="6"/>
        <v>120</v>
      </c>
      <c r="J33" s="11">
        <v>272000</v>
      </c>
      <c r="K33" s="141">
        <f t="shared" si="5"/>
        <v>5.4345689040341991</v>
      </c>
      <c r="L33" s="11"/>
      <c r="M33" s="11"/>
      <c r="N33" s="11"/>
      <c r="O33" s="11"/>
    </row>
    <row r="34" spans="2:15" ht="15.75" thickBot="1" x14ac:dyDescent="0.3">
      <c r="B34" s="58"/>
      <c r="C34" s="10" t="s">
        <v>163</v>
      </c>
      <c r="D34" s="59"/>
      <c r="E34" s="60"/>
      <c r="F34" s="59"/>
      <c r="G34" s="60"/>
      <c r="H34" s="21">
        <f t="shared" si="6"/>
        <v>150</v>
      </c>
      <c r="J34" s="15">
        <v>277000</v>
      </c>
      <c r="K34" s="142">
        <f t="shared" si="5"/>
        <v>5.4424797690644482</v>
      </c>
      <c r="L34" s="15"/>
      <c r="M34" s="15"/>
      <c r="N34" s="15"/>
      <c r="O34" s="11"/>
    </row>
    <row r="35" spans="2:15" ht="15.75" thickBot="1" x14ac:dyDescent="0.3">
      <c r="B35" s="52"/>
      <c r="C35" s="45" t="s">
        <v>164</v>
      </c>
      <c r="D35" s="53"/>
      <c r="E35" s="54"/>
      <c r="F35" s="53"/>
      <c r="G35" s="54"/>
      <c r="H35" s="47">
        <f t="shared" si="6"/>
        <v>180</v>
      </c>
      <c r="J35" s="25"/>
      <c r="K35" s="25"/>
      <c r="L35" s="25"/>
      <c r="M35" s="25"/>
      <c r="N35" s="25"/>
      <c r="O35" s="7"/>
    </row>
    <row r="36" spans="2:15" ht="15.75" thickBot="1" x14ac:dyDescent="0.3">
      <c r="B36" s="55"/>
      <c r="C36" s="49" t="s">
        <v>165</v>
      </c>
      <c r="D36" s="56"/>
      <c r="E36" s="57"/>
      <c r="F36" s="56"/>
      <c r="G36" s="57"/>
      <c r="H36" s="51">
        <f t="shared" si="6"/>
        <v>210</v>
      </c>
      <c r="J36" s="7"/>
      <c r="K36" s="7"/>
      <c r="L36" s="7"/>
      <c r="M36" s="7"/>
      <c r="N36" s="7"/>
      <c r="O36" s="17"/>
    </row>
    <row r="37" spans="2:15" x14ac:dyDescent="0.25">
      <c r="J37" s="4"/>
      <c r="K37" s="4"/>
      <c r="L37" s="4"/>
      <c r="M37" s="4"/>
      <c r="N37" s="4"/>
      <c r="O37" s="4" t="s">
        <v>246</v>
      </c>
    </row>
    <row r="38" spans="2:15" x14ac:dyDescent="0.25">
      <c r="O38" s="147">
        <f>AVERAGE(O5,O13,O21,O29)</f>
        <v>0.14943480062379899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zoomScaleNormal="100" workbookViewId="0"/>
  </sheetViews>
  <sheetFormatPr defaultRowHeight="15" x14ac:dyDescent="0.25"/>
  <cols>
    <col min="2" max="2" width="13" customWidth="1"/>
    <col min="3" max="3" width="16.140625" customWidth="1"/>
    <col min="4" max="4" width="21.85546875" customWidth="1"/>
    <col min="5" max="5" width="23.140625" customWidth="1"/>
    <col min="6" max="6" width="19.7109375" customWidth="1"/>
    <col min="7" max="7" width="17" customWidth="1"/>
    <col min="8" max="8" width="21.7109375" customWidth="1"/>
    <col min="9" max="9" width="15.5703125" customWidth="1"/>
    <col min="10" max="10" width="23.85546875" customWidth="1"/>
    <col min="11" max="11" width="13.85546875" customWidth="1"/>
    <col min="12" max="12" width="18.42578125" customWidth="1"/>
    <col min="13" max="13" width="17.140625" customWidth="1"/>
  </cols>
  <sheetData>
    <row r="1" spans="1:15" ht="23.25" x14ac:dyDescent="0.35">
      <c r="A1" s="76"/>
    </row>
    <row r="2" spans="1:15" ht="23.25" x14ac:dyDescent="0.35">
      <c r="B2" s="43" t="s">
        <v>308</v>
      </c>
    </row>
    <row r="3" spans="1:15" ht="15.75" thickBot="1" x14ac:dyDescent="0.3"/>
    <row r="4" spans="1:15" ht="15.75" thickBot="1" x14ac:dyDescent="0.3">
      <c r="B4" s="27" t="s">
        <v>18</v>
      </c>
      <c r="C4" s="28" t="s">
        <v>19</v>
      </c>
      <c r="D4" s="27" t="s">
        <v>20</v>
      </c>
      <c r="E4" s="28" t="s">
        <v>21</v>
      </c>
      <c r="F4" s="27" t="s">
        <v>22</v>
      </c>
      <c r="G4" s="28" t="s">
        <v>23</v>
      </c>
      <c r="H4" s="27" t="s">
        <v>24</v>
      </c>
      <c r="J4" s="7" t="s">
        <v>57</v>
      </c>
      <c r="K4" s="7" t="s">
        <v>240</v>
      </c>
      <c r="L4" s="7" t="s">
        <v>241</v>
      </c>
      <c r="M4" s="7" t="s">
        <v>242</v>
      </c>
      <c r="N4" s="7" t="s">
        <v>218</v>
      </c>
      <c r="O4" s="25" t="s">
        <v>243</v>
      </c>
    </row>
    <row r="5" spans="1:15" x14ac:dyDescent="0.25">
      <c r="B5" s="29">
        <v>42178</v>
      </c>
      <c r="C5" s="30" t="s">
        <v>166</v>
      </c>
      <c r="D5" s="31">
        <v>23</v>
      </c>
      <c r="E5" s="30">
        <v>75</v>
      </c>
      <c r="F5" s="31">
        <v>1065</v>
      </c>
      <c r="G5" s="30">
        <v>5</v>
      </c>
      <c r="H5" s="32">
        <v>0</v>
      </c>
      <c r="J5" s="227">
        <v>1.2</v>
      </c>
      <c r="K5" s="141">
        <f t="shared" ref="K5:K10" si="0">LOG10(J5)</f>
        <v>7.9181246047624818E-2</v>
      </c>
      <c r="L5" s="141">
        <f>AVERAGE(K5:K10)</f>
        <v>-2.0246367416465589E-2</v>
      </c>
      <c r="M5" s="141">
        <f>_xlfn.STDEV.S(K5:K10)</f>
        <v>0.32522351346202177</v>
      </c>
      <c r="N5" s="141">
        <f>$L$29-L5</f>
        <v>5.4762673855684447</v>
      </c>
      <c r="O5" s="157">
        <f>M5+$M$29</f>
        <v>0.34659524347651766</v>
      </c>
    </row>
    <row r="6" spans="1:15" x14ac:dyDescent="0.25">
      <c r="B6" s="22"/>
      <c r="C6" s="10" t="s">
        <v>167</v>
      </c>
      <c r="D6" s="9"/>
      <c r="E6" s="10"/>
      <c r="F6" s="9"/>
      <c r="G6" s="10"/>
      <c r="H6" s="21">
        <f>H5+30</f>
        <v>30</v>
      </c>
      <c r="J6" s="227">
        <v>3</v>
      </c>
      <c r="K6" s="141">
        <f t="shared" si="0"/>
        <v>0.47712125471966244</v>
      </c>
      <c r="L6" s="141"/>
      <c r="M6" s="141"/>
      <c r="N6" s="141"/>
      <c r="O6" s="141"/>
    </row>
    <row r="7" spans="1:15" x14ac:dyDescent="0.25">
      <c r="B7" s="22"/>
      <c r="C7" s="10" t="s">
        <v>168</v>
      </c>
      <c r="D7" s="9"/>
      <c r="E7" s="10"/>
      <c r="F7" s="9"/>
      <c r="G7" s="10"/>
      <c r="H7" s="21">
        <f>H6+30</f>
        <v>60</v>
      </c>
      <c r="J7" s="227">
        <v>1</v>
      </c>
      <c r="K7" s="141">
        <f t="shared" si="0"/>
        <v>0</v>
      </c>
      <c r="L7" s="141"/>
      <c r="M7" s="141"/>
      <c r="N7" s="141"/>
      <c r="O7" s="141"/>
    </row>
    <row r="8" spans="1:15" x14ac:dyDescent="0.25">
      <c r="B8" s="22"/>
      <c r="C8" s="10" t="s">
        <v>169</v>
      </c>
      <c r="D8" s="9"/>
      <c r="E8" s="10"/>
      <c r="F8" s="9"/>
      <c r="G8" s="10"/>
      <c r="H8" s="21">
        <f>H7+30</f>
        <v>90</v>
      </c>
      <c r="J8" s="227">
        <v>0.7</v>
      </c>
      <c r="K8" s="141">
        <f t="shared" si="0"/>
        <v>-0.15490195998574319</v>
      </c>
      <c r="L8" s="141"/>
      <c r="M8" s="141"/>
      <c r="N8" s="141"/>
      <c r="O8" s="141"/>
    </row>
    <row r="9" spans="1:15" x14ac:dyDescent="0.25">
      <c r="B9" s="22"/>
      <c r="C9" s="10" t="s">
        <v>170</v>
      </c>
      <c r="D9" s="9"/>
      <c r="E9" s="10"/>
      <c r="F9" s="9"/>
      <c r="G9" s="10"/>
      <c r="H9" s="21">
        <f>H8+30</f>
        <v>120</v>
      </c>
      <c r="J9" s="227">
        <v>0.3</v>
      </c>
      <c r="K9" s="141">
        <f t="shared" si="0"/>
        <v>-0.52287874528033762</v>
      </c>
      <c r="L9" s="141"/>
      <c r="M9" s="141"/>
      <c r="N9" s="141"/>
      <c r="O9" s="141"/>
    </row>
    <row r="10" spans="1:15" ht="15.75" thickBot="1" x14ac:dyDescent="0.3">
      <c r="B10" s="23"/>
      <c r="C10" s="13" t="s">
        <v>171</v>
      </c>
      <c r="D10" s="14"/>
      <c r="E10" s="13"/>
      <c r="F10" s="14"/>
      <c r="G10" s="13"/>
      <c r="H10" s="24">
        <f>H9+30</f>
        <v>150</v>
      </c>
      <c r="J10" s="227">
        <v>1</v>
      </c>
      <c r="K10" s="142">
        <f t="shared" si="0"/>
        <v>0</v>
      </c>
      <c r="L10" s="142"/>
      <c r="M10" s="142"/>
      <c r="N10" s="142"/>
      <c r="O10" s="142"/>
    </row>
    <row r="11" spans="1:15" ht="15.75" thickBot="1" x14ac:dyDescent="0.3">
      <c r="B11" s="29">
        <v>42178</v>
      </c>
      <c r="C11" s="30" t="s">
        <v>281</v>
      </c>
      <c r="D11" s="31">
        <v>24</v>
      </c>
      <c r="E11" s="30">
        <v>72</v>
      </c>
      <c r="F11" s="31">
        <v>1065</v>
      </c>
      <c r="G11" s="30">
        <v>5</v>
      </c>
      <c r="H11" s="32">
        <v>0</v>
      </c>
      <c r="J11" s="17"/>
      <c r="K11" s="17"/>
      <c r="L11" s="232"/>
      <c r="M11" s="232"/>
      <c r="N11" s="232"/>
      <c r="O11" s="232"/>
    </row>
    <row r="12" spans="1:15" ht="15.75" thickBot="1" x14ac:dyDescent="0.3">
      <c r="B12" s="22"/>
      <c r="C12" s="10" t="s">
        <v>282</v>
      </c>
      <c r="D12" s="9"/>
      <c r="E12" s="10"/>
      <c r="F12" s="9"/>
      <c r="G12" s="10"/>
      <c r="H12" s="21">
        <f>H11+30</f>
        <v>30</v>
      </c>
      <c r="J12" s="7"/>
      <c r="K12" s="7" t="s">
        <v>240</v>
      </c>
      <c r="L12" s="233" t="s">
        <v>220</v>
      </c>
      <c r="M12" s="233" t="s">
        <v>239</v>
      </c>
      <c r="N12" s="233"/>
      <c r="O12" s="233"/>
    </row>
    <row r="13" spans="1:15" x14ac:dyDescent="0.25">
      <c r="B13" s="22"/>
      <c r="C13" s="10" t="s">
        <v>283</v>
      </c>
      <c r="D13" s="9"/>
      <c r="E13" s="10"/>
      <c r="F13" s="9"/>
      <c r="G13" s="10"/>
      <c r="H13" s="21">
        <f>H12+30</f>
        <v>60</v>
      </c>
      <c r="J13" s="228">
        <v>920</v>
      </c>
      <c r="K13" s="141">
        <f t="shared" ref="K13:K18" si="1">LOG10(J13)</f>
        <v>2.9637878273455551</v>
      </c>
      <c r="L13" s="141">
        <f>AVERAGE(K13:K18)</f>
        <v>3.0153054218668776</v>
      </c>
      <c r="M13" s="141">
        <f>_xlfn.STDEV.S(K13:K18)</f>
        <v>4.2365836322840592E-2</v>
      </c>
      <c r="N13" s="141">
        <f>$L$29-L13</f>
        <v>2.4407155962851017</v>
      </c>
      <c r="O13" s="157">
        <f>M13+$M$29</f>
        <v>6.3737566337336474E-2</v>
      </c>
    </row>
    <row r="14" spans="1:15" x14ac:dyDescent="0.25">
      <c r="B14" s="22"/>
      <c r="C14" s="10" t="s">
        <v>284</v>
      </c>
      <c r="D14" s="9"/>
      <c r="E14" s="10"/>
      <c r="F14" s="9"/>
      <c r="G14" s="10"/>
      <c r="H14" s="21">
        <f>H13+30</f>
        <v>90</v>
      </c>
      <c r="J14" s="228">
        <v>1150</v>
      </c>
      <c r="K14" s="141">
        <f t="shared" si="1"/>
        <v>3.0606978403536118</v>
      </c>
      <c r="L14" s="141"/>
      <c r="M14" s="141"/>
      <c r="N14" s="141"/>
      <c r="O14" s="141"/>
    </row>
    <row r="15" spans="1:15" x14ac:dyDescent="0.25">
      <c r="B15" s="22"/>
      <c r="C15" s="10" t="s">
        <v>285</v>
      </c>
      <c r="D15" s="9"/>
      <c r="E15" s="10"/>
      <c r="F15" s="9"/>
      <c r="G15" s="10"/>
      <c r="H15" s="21">
        <f>H14+30</f>
        <v>120</v>
      </c>
      <c r="J15" s="228">
        <v>950</v>
      </c>
      <c r="K15" s="141">
        <f t="shared" si="1"/>
        <v>2.9777236052888476</v>
      </c>
      <c r="L15" s="141"/>
      <c r="M15" s="141"/>
      <c r="N15" s="141"/>
      <c r="O15" s="141"/>
    </row>
    <row r="16" spans="1:15" ht="15.75" thickBot="1" x14ac:dyDescent="0.3">
      <c r="B16" s="23"/>
      <c r="C16" s="13" t="s">
        <v>286</v>
      </c>
      <c r="D16" s="14"/>
      <c r="E16" s="13"/>
      <c r="F16" s="14"/>
      <c r="G16" s="13"/>
      <c r="H16" s="24">
        <f>H15+30</f>
        <v>150</v>
      </c>
      <c r="J16" s="228">
        <v>1030</v>
      </c>
      <c r="K16" s="141">
        <f t="shared" si="1"/>
        <v>3.012837224705172</v>
      </c>
      <c r="L16" s="141"/>
      <c r="M16" s="141"/>
      <c r="N16" s="141"/>
      <c r="O16" s="141"/>
    </row>
    <row r="17" spans="2:15" x14ac:dyDescent="0.25">
      <c r="B17" s="29">
        <v>42178</v>
      </c>
      <c r="C17" s="30" t="s">
        <v>287</v>
      </c>
      <c r="D17" s="31">
        <v>25</v>
      </c>
      <c r="E17" s="30">
        <v>69</v>
      </c>
      <c r="F17" s="31">
        <v>1065</v>
      </c>
      <c r="G17" s="30">
        <v>5</v>
      </c>
      <c r="H17" s="32">
        <v>0</v>
      </c>
      <c r="J17" s="228">
        <v>1020</v>
      </c>
      <c r="K17" s="141">
        <f t="shared" si="1"/>
        <v>3.0086001717619175</v>
      </c>
      <c r="L17" s="141"/>
      <c r="M17" s="141"/>
      <c r="N17" s="141"/>
      <c r="O17" s="141"/>
    </row>
    <row r="18" spans="2:15" ht="15.75" thickBot="1" x14ac:dyDescent="0.3">
      <c r="B18" s="22"/>
      <c r="C18" s="10" t="s">
        <v>288</v>
      </c>
      <c r="D18" s="9"/>
      <c r="E18" s="10"/>
      <c r="F18" s="9"/>
      <c r="G18" s="10"/>
      <c r="H18" s="21">
        <f>H17+30</f>
        <v>30</v>
      </c>
      <c r="J18" s="229">
        <v>1170</v>
      </c>
      <c r="K18" s="142">
        <f t="shared" si="1"/>
        <v>3.0681858617461617</v>
      </c>
      <c r="L18" s="142"/>
      <c r="M18" s="142"/>
      <c r="N18" s="142"/>
      <c r="O18" s="141"/>
    </row>
    <row r="19" spans="2:15" ht="15.75" thickBot="1" x14ac:dyDescent="0.3">
      <c r="B19" s="22"/>
      <c r="C19" s="10" t="s">
        <v>289</v>
      </c>
      <c r="D19" s="9"/>
      <c r="E19" s="10"/>
      <c r="F19" s="9"/>
      <c r="G19" s="10"/>
      <c r="H19" s="21">
        <f>H18+30</f>
        <v>60</v>
      </c>
      <c r="J19" s="228"/>
      <c r="K19" s="17"/>
      <c r="L19" s="232"/>
      <c r="M19" s="232"/>
      <c r="N19" s="232"/>
      <c r="O19" s="233"/>
    </row>
    <row r="20" spans="2:15" ht="15.75" thickBot="1" x14ac:dyDescent="0.3">
      <c r="B20" s="22"/>
      <c r="C20" s="10" t="s">
        <v>290</v>
      </c>
      <c r="D20" s="9"/>
      <c r="E20" s="10"/>
      <c r="F20" s="9"/>
      <c r="G20" s="10"/>
      <c r="H20" s="21">
        <f>H19+30</f>
        <v>90</v>
      </c>
      <c r="J20" s="230"/>
      <c r="K20" s="7" t="s">
        <v>240</v>
      </c>
      <c r="L20" s="233" t="s">
        <v>220</v>
      </c>
      <c r="M20" s="233" t="s">
        <v>239</v>
      </c>
      <c r="N20" s="233"/>
      <c r="O20" s="232"/>
    </row>
    <row r="21" spans="2:15" x14ac:dyDescent="0.25">
      <c r="B21" s="22"/>
      <c r="C21" s="10" t="s">
        <v>291</v>
      </c>
      <c r="D21" s="9"/>
      <c r="E21" s="10"/>
      <c r="F21" s="9"/>
      <c r="G21" s="10"/>
      <c r="H21" s="21">
        <f>H20+30</f>
        <v>120</v>
      </c>
      <c r="J21" s="228">
        <v>29700</v>
      </c>
      <c r="K21" s="141">
        <f t="shared" ref="K21:K26" si="2">LOG10(J21)</f>
        <v>4.4727564493172123</v>
      </c>
      <c r="L21" s="141">
        <f>AVERAGE(K21:K26)</f>
        <v>4.451665682160086</v>
      </c>
      <c r="M21" s="141">
        <f>_xlfn.STDEV.S(K21:K26)</f>
        <v>3.0349769236081448E-2</v>
      </c>
      <c r="N21" s="141">
        <f>$L$29-L21</f>
        <v>1.0043553359918933</v>
      </c>
      <c r="O21" s="157">
        <f>M21+$M$29</f>
        <v>5.1721499250577334E-2</v>
      </c>
    </row>
    <row r="22" spans="2:15" ht="15.75" thickBot="1" x14ac:dyDescent="0.3">
      <c r="B22" s="23"/>
      <c r="C22" s="13" t="s">
        <v>292</v>
      </c>
      <c r="D22" s="14"/>
      <c r="E22" s="13"/>
      <c r="F22" s="14"/>
      <c r="G22" s="13"/>
      <c r="H22" s="24">
        <f>H21+30</f>
        <v>150</v>
      </c>
      <c r="J22" s="228">
        <v>27600</v>
      </c>
      <c r="K22" s="141">
        <f t="shared" si="2"/>
        <v>4.4409090820652173</v>
      </c>
      <c r="L22" s="141"/>
      <c r="M22" s="141"/>
      <c r="N22" s="141"/>
      <c r="O22" s="141"/>
    </row>
    <row r="23" spans="2:15" x14ac:dyDescent="0.25">
      <c r="B23" s="20">
        <v>42178</v>
      </c>
      <c r="C23" s="10" t="s">
        <v>172</v>
      </c>
      <c r="D23" s="9">
        <v>26</v>
      </c>
      <c r="E23" s="10" t="s">
        <v>179</v>
      </c>
      <c r="F23" s="9">
        <v>1065</v>
      </c>
      <c r="G23" s="10">
        <v>5</v>
      </c>
      <c r="H23" s="21">
        <v>0</v>
      </c>
      <c r="J23" s="228">
        <v>26500</v>
      </c>
      <c r="K23" s="141">
        <f t="shared" si="2"/>
        <v>4.4232458739368079</v>
      </c>
      <c r="L23" s="141"/>
      <c r="M23" s="141"/>
      <c r="N23" s="141"/>
      <c r="O23" s="141"/>
    </row>
    <row r="24" spans="2:15" x14ac:dyDescent="0.25">
      <c r="B24" s="22"/>
      <c r="C24" s="10" t="s">
        <v>173</v>
      </c>
      <c r="D24" s="9"/>
      <c r="E24" s="10"/>
      <c r="F24" s="9"/>
      <c r="G24" s="10"/>
      <c r="H24" s="21">
        <f>H23+30</f>
        <v>30</v>
      </c>
      <c r="J24" s="228">
        <v>26100</v>
      </c>
      <c r="K24" s="141">
        <f t="shared" si="2"/>
        <v>4.4166405073382808</v>
      </c>
      <c r="L24" s="141"/>
      <c r="M24" s="141"/>
      <c r="N24" s="141"/>
      <c r="O24" s="141"/>
    </row>
    <row r="25" spans="2:15" x14ac:dyDescent="0.25">
      <c r="B25" s="22"/>
      <c r="C25" s="10" t="s">
        <v>174</v>
      </c>
      <c r="D25" s="9"/>
      <c r="E25" s="10"/>
      <c r="F25" s="9"/>
      <c r="G25" s="10"/>
      <c r="H25" s="21">
        <f>H24+30</f>
        <v>60</v>
      </c>
      <c r="I25" s="26" t="s">
        <v>53</v>
      </c>
      <c r="J25" s="228">
        <v>28900</v>
      </c>
      <c r="K25" s="141">
        <f t="shared" si="2"/>
        <v>4.4608978427565482</v>
      </c>
      <c r="L25" s="141"/>
      <c r="M25" s="141"/>
      <c r="N25" s="141"/>
      <c r="O25" s="141"/>
    </row>
    <row r="26" spans="2:15" ht="15.75" thickBot="1" x14ac:dyDescent="0.3">
      <c r="B26" s="22"/>
      <c r="C26" s="10" t="s">
        <v>175</v>
      </c>
      <c r="D26" s="9"/>
      <c r="E26" s="10"/>
      <c r="F26" s="9"/>
      <c r="G26" s="10"/>
      <c r="H26" s="21">
        <f>H25+30</f>
        <v>90</v>
      </c>
      <c r="J26" s="229">
        <v>31300</v>
      </c>
      <c r="K26" s="142">
        <f t="shared" si="2"/>
        <v>4.4955443375464483</v>
      </c>
      <c r="L26" s="142"/>
      <c r="M26" s="142"/>
      <c r="N26" s="142"/>
      <c r="O26" s="142"/>
    </row>
    <row r="27" spans="2:15" ht="15.75" thickBot="1" x14ac:dyDescent="0.3">
      <c r="B27" s="22"/>
      <c r="C27" s="10" t="s">
        <v>176</v>
      </c>
      <c r="D27" s="9"/>
      <c r="E27" s="10"/>
      <c r="F27" s="9"/>
      <c r="G27" s="10"/>
      <c r="H27" s="21">
        <f>H26+30</f>
        <v>120</v>
      </c>
      <c r="J27" s="228"/>
      <c r="K27" s="17"/>
      <c r="L27" s="232"/>
      <c r="M27" s="232"/>
      <c r="N27" s="232"/>
      <c r="O27" s="232"/>
    </row>
    <row r="28" spans="2:15" ht="15.75" thickBot="1" x14ac:dyDescent="0.3">
      <c r="B28" s="39"/>
      <c r="C28" s="13" t="s">
        <v>177</v>
      </c>
      <c r="D28" s="40"/>
      <c r="E28" s="41"/>
      <c r="F28" s="40"/>
      <c r="G28" s="41"/>
      <c r="H28" s="24">
        <f>H27+30</f>
        <v>150</v>
      </c>
      <c r="J28" s="230"/>
      <c r="K28" s="7" t="s">
        <v>240</v>
      </c>
      <c r="L28" s="233" t="s">
        <v>220</v>
      </c>
      <c r="M28" s="233" t="s">
        <v>239</v>
      </c>
      <c r="N28" s="233"/>
      <c r="O28" s="233"/>
    </row>
    <row r="29" spans="2:15" x14ac:dyDescent="0.25">
      <c r="J29" s="228">
        <v>298000</v>
      </c>
      <c r="K29" s="141">
        <f t="shared" ref="K29:K34" si="3">LOG10(J29)</f>
        <v>5.4742162640762553</v>
      </c>
      <c r="L29" s="141">
        <f>AVERAGE(K29:K34)</f>
        <v>5.4560210181519793</v>
      </c>
      <c r="M29" s="141">
        <f>_xlfn.STDEV.S(K29:K34)</f>
        <v>2.1371730014495886E-2</v>
      </c>
      <c r="N29" s="141"/>
      <c r="O29" s="141"/>
    </row>
    <row r="30" spans="2:15" x14ac:dyDescent="0.25">
      <c r="J30" s="228">
        <v>260000</v>
      </c>
      <c r="K30" s="141">
        <f t="shared" si="3"/>
        <v>5.4149733479708182</v>
      </c>
      <c r="L30" s="141"/>
      <c r="M30" s="141"/>
      <c r="N30" s="141"/>
      <c r="O30" s="141"/>
    </row>
    <row r="31" spans="2:15" x14ac:dyDescent="0.25">
      <c r="J31" s="231">
        <v>292333.33333333331</v>
      </c>
      <c r="K31" s="141">
        <f t="shared" si="3"/>
        <v>5.4658783386463776</v>
      </c>
      <c r="L31" s="141"/>
      <c r="M31" s="141"/>
      <c r="N31" s="141"/>
      <c r="O31" s="141"/>
    </row>
    <row r="32" spans="2:15" x14ac:dyDescent="0.25">
      <c r="J32" s="228">
        <v>288000</v>
      </c>
      <c r="K32" s="141">
        <f t="shared" si="3"/>
        <v>5.4593924877592306</v>
      </c>
      <c r="L32" s="141"/>
      <c r="M32" s="141"/>
      <c r="N32" s="141"/>
      <c r="O32" s="141"/>
    </row>
    <row r="33" spans="10:15" x14ac:dyDescent="0.25">
      <c r="J33" s="228">
        <v>284000</v>
      </c>
      <c r="K33" s="141">
        <f t="shared" si="3"/>
        <v>5.453318340047038</v>
      </c>
      <c r="L33" s="141"/>
      <c r="M33" s="141"/>
      <c r="N33" s="141"/>
      <c r="O33" s="141"/>
    </row>
    <row r="34" spans="10:15" ht="15.75" thickBot="1" x14ac:dyDescent="0.3">
      <c r="J34" s="229">
        <v>294000</v>
      </c>
      <c r="K34" s="142">
        <f t="shared" si="3"/>
        <v>5.4683473304121577</v>
      </c>
      <c r="L34" s="142"/>
      <c r="M34" s="142"/>
      <c r="N34" s="142"/>
      <c r="O34" s="141"/>
    </row>
    <row r="35" spans="10:15" ht="15.75" thickBot="1" x14ac:dyDescent="0.3">
      <c r="J35" s="25"/>
      <c r="K35" s="25"/>
      <c r="L35" s="25"/>
      <c r="M35" s="25"/>
      <c r="N35" s="234"/>
      <c r="O35" s="7"/>
    </row>
    <row r="36" spans="10:15" ht="15.75" thickBot="1" x14ac:dyDescent="0.3">
      <c r="J36" s="7"/>
      <c r="K36" s="7"/>
      <c r="L36" s="7"/>
      <c r="M36" s="7"/>
      <c r="N36" s="233"/>
      <c r="O36" s="17"/>
    </row>
    <row r="37" spans="10:15" x14ac:dyDescent="0.25">
      <c r="J37" s="4"/>
      <c r="K37" s="4"/>
      <c r="L37" s="4"/>
      <c r="M37" s="4"/>
      <c r="N37" s="4"/>
      <c r="O37" s="4" t="s">
        <v>246</v>
      </c>
    </row>
    <row r="38" spans="10:15" x14ac:dyDescent="0.25">
      <c r="O38" s="147">
        <f>AVERAGE(O5,O13,O21,O29)</f>
        <v>0.15401810302147714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Index</vt:lpstr>
      <vt:lpstr>Tracer studies</vt:lpstr>
      <vt:lpstr>Water Quality at challenge test</vt:lpstr>
      <vt:lpstr>Microbial Challenge Low Flow</vt:lpstr>
      <vt:lpstr>Microbial Challenge MS2+E.coli</vt:lpstr>
      <vt:lpstr>Microbial Challenge HF(1)</vt:lpstr>
      <vt:lpstr>Microbial Challenge HF(2)</vt:lpstr>
      <vt:lpstr>Microbial Challenge HF(3)</vt:lpstr>
      <vt:lpstr>Microbial Challenge HF(4)</vt:lpstr>
      <vt:lpstr>Calc. Ventura Val.</vt:lpstr>
      <vt:lpstr>Calc. Low before+high after</vt:lpstr>
      <vt:lpstr>Sheet1</vt:lpstr>
    </vt:vector>
  </TitlesOfParts>
  <Company>Victoria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Sanciolo</dc:creator>
  <cp:lastModifiedBy>Victoria University</cp:lastModifiedBy>
  <dcterms:created xsi:type="dcterms:W3CDTF">2015-04-17T08:23:27Z</dcterms:created>
  <dcterms:modified xsi:type="dcterms:W3CDTF">2016-05-30T05:21:05Z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